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1295" windowHeight="6375" activeTab="0"/>
  </bookViews>
  <sheets>
    <sheet name="2018 год" sheetId="1" r:id="rId1"/>
    <sheet name="Лист2" sheetId="2" r:id="rId2"/>
    <sheet name="Лист1" sheetId="3" r:id="rId3"/>
    <sheet name="Лист3" sheetId="4" r:id="rId4"/>
  </sheets>
  <definedNames>
    <definedName name="_xlnm.Print_Area" localSheetId="0">'2018 год'!#REF!</definedName>
  </definedNames>
  <calcPr fullCalcOnLoad="1"/>
</workbook>
</file>

<file path=xl/sharedStrings.xml><?xml version="1.0" encoding="utf-8"?>
<sst xmlns="http://schemas.openxmlformats.org/spreadsheetml/2006/main" count="1399" uniqueCount="575">
  <si>
    <t>Ростовская-4</t>
  </si>
  <si>
    <t>Киевская-8</t>
  </si>
  <si>
    <t>60 лет СССР-1</t>
  </si>
  <si>
    <t>Ростовская-3</t>
  </si>
  <si>
    <t>Ростовская-8</t>
  </si>
  <si>
    <t>Киевская-5а</t>
  </si>
  <si>
    <t>Донецкая-11</t>
  </si>
  <si>
    <t>Донецкая-13</t>
  </si>
  <si>
    <t>Ростовская-7</t>
  </si>
  <si>
    <t>Утепление трубопровода</t>
  </si>
  <si>
    <t>частичный ремонт кровли</t>
  </si>
  <si>
    <t>Донецкая-1а</t>
  </si>
  <si>
    <t>Ремонт канализации</t>
  </si>
  <si>
    <t>Донецкая-7</t>
  </si>
  <si>
    <t>Киевская-10</t>
  </si>
  <si>
    <t>60 лет СССР-3</t>
  </si>
  <si>
    <t>Киевская-3</t>
  </si>
  <si>
    <t>Армейская-1</t>
  </si>
  <si>
    <t>Армейская-2</t>
  </si>
  <si>
    <t>Армейская-3</t>
  </si>
  <si>
    <t>Армейская-5</t>
  </si>
  <si>
    <t>Артема-10</t>
  </si>
  <si>
    <t>Артема-12</t>
  </si>
  <si>
    <t>Инженер ПТО ООО УК "Ургал"</t>
  </si>
  <si>
    <t>Артема-7</t>
  </si>
  <si>
    <t>Артема-9</t>
  </si>
  <si>
    <t>Донецкая-9</t>
  </si>
  <si>
    <t>Киевская-3а</t>
  </si>
  <si>
    <t>Киевская-7</t>
  </si>
  <si>
    <t>Южная-4</t>
  </si>
  <si>
    <t>Южная-2</t>
  </si>
  <si>
    <t>Армейская-4</t>
  </si>
  <si>
    <t>Донецкая-1</t>
  </si>
  <si>
    <t>Донецкая-2</t>
  </si>
  <si>
    <t>Донецкая-2а</t>
  </si>
  <si>
    <t>Донецкая-2б</t>
  </si>
  <si>
    <t>Донецкая-4</t>
  </si>
  <si>
    <t>Донецкая-5</t>
  </si>
  <si>
    <t>Киевская-1</t>
  </si>
  <si>
    <t>Киевская-1а</t>
  </si>
  <si>
    <t>Киевская-4</t>
  </si>
  <si>
    <t>Киевская-6</t>
  </si>
  <si>
    <t>Молодежная-1</t>
  </si>
  <si>
    <t>Молодежная-3</t>
  </si>
  <si>
    <t>Победы-4</t>
  </si>
  <si>
    <t>Победы-6</t>
  </si>
  <si>
    <t>Ростовская-1</t>
  </si>
  <si>
    <t>60 лет СССР-3а</t>
  </si>
  <si>
    <t>утепление подвальных окон, помещений</t>
  </si>
  <si>
    <t xml:space="preserve">ремонт дверных полотен, коробок </t>
  </si>
  <si>
    <t>ремонт КНС</t>
  </si>
  <si>
    <t>установка почтовых ящиков</t>
  </si>
  <si>
    <t>промывка системы отопления</t>
  </si>
  <si>
    <t>6455,0 м2</t>
  </si>
  <si>
    <t>строительные работы</t>
  </si>
  <si>
    <t>сантехнические работы</t>
  </si>
  <si>
    <t>электротехнические работы</t>
  </si>
  <si>
    <t>2140,6 м2</t>
  </si>
  <si>
    <t>прочие работы</t>
  </si>
  <si>
    <t xml:space="preserve">ремонт подъездов </t>
  </si>
  <si>
    <t>Утепление подвальных, чердачных окон</t>
  </si>
  <si>
    <t>Остекление (1 м2)</t>
  </si>
  <si>
    <t>Остекление (1,5 м2)</t>
  </si>
  <si>
    <t xml:space="preserve">Замена запорной арматуры </t>
  </si>
  <si>
    <t>Ревизия запорной арматуры</t>
  </si>
  <si>
    <t xml:space="preserve">Замена трубопроводов на пропилен </t>
  </si>
  <si>
    <t>Замена запорной арматуры</t>
  </si>
  <si>
    <t>Смена трубопроводов</t>
  </si>
  <si>
    <t>Замена трубопровода</t>
  </si>
  <si>
    <t>Трубы ПХВ на КНС</t>
  </si>
  <si>
    <t>Прочистка трубопровода</t>
  </si>
  <si>
    <t>Замена трубопроводов</t>
  </si>
  <si>
    <t>Замена трубопровода на пропилен</t>
  </si>
  <si>
    <t>Ремонт радиаторов</t>
  </si>
  <si>
    <t>Замена трубопроводов на пропилен</t>
  </si>
  <si>
    <t>Отогрев трубопровода</t>
  </si>
  <si>
    <t>Ремонт радиаторов, регистров</t>
  </si>
  <si>
    <t>Ремонт дверных коробок, полотен</t>
  </si>
  <si>
    <t>Остекление (1,2 м2)</t>
  </si>
  <si>
    <t>Очистка от мусора чердаков, кровель, подвалов</t>
  </si>
  <si>
    <t>Ремонт дверных полотен, коробок</t>
  </si>
  <si>
    <t>Очистка кровель, чердаков, подвалов от мусора</t>
  </si>
  <si>
    <t>Прочие работы</t>
  </si>
  <si>
    <t>Демонтаж электропровода</t>
  </si>
  <si>
    <t>Установка распределительных коробок</t>
  </si>
  <si>
    <t>Ремонт электрощитов</t>
  </si>
  <si>
    <t>Ремонт ВРУ</t>
  </si>
  <si>
    <t>Замена электроприборов</t>
  </si>
  <si>
    <t>Замена автоматов</t>
  </si>
  <si>
    <t>Прокладка кабель-канала</t>
  </si>
  <si>
    <t>Установка регистров в п-де, рем п-ого отопления</t>
  </si>
  <si>
    <t>Смена трубороводов</t>
  </si>
  <si>
    <t>Ремонт отопления в подъезде</t>
  </si>
  <si>
    <t>Ремонт подъездного отопления</t>
  </si>
  <si>
    <t>изг.и установка регистров, ремонт п-ого отопления</t>
  </si>
  <si>
    <t>Прокладка электропровода</t>
  </si>
  <si>
    <t>Ремонт оконных переплетов</t>
  </si>
  <si>
    <t>Утепление чердачных, подвальных окон, помещений, трубопровода</t>
  </si>
  <si>
    <t xml:space="preserve">Ремонт  дверных полотен, коробок </t>
  </si>
  <si>
    <t>Ремонт  люков на чердак</t>
  </si>
  <si>
    <t>Изготовление дощатых трапов</t>
  </si>
  <si>
    <t>Изготовление дощатых трапов, настилов</t>
  </si>
  <si>
    <t>Изготовление дощатых настилов</t>
  </si>
  <si>
    <t>ремонт люков на чердак</t>
  </si>
  <si>
    <t>Ремонт отопления</t>
  </si>
  <si>
    <t>Труба ПХВ на КНС</t>
  </si>
  <si>
    <t>Сбор крупного мусора около ж.д., вывоз на свалку</t>
  </si>
  <si>
    <t>Ремонт металлических ограждений</t>
  </si>
  <si>
    <t>Навеска дверных полотен люков на чердак</t>
  </si>
  <si>
    <t>Установка перил, наличников</t>
  </si>
  <si>
    <t>Ремонт деревянных полотен, коробок</t>
  </si>
  <si>
    <t>Ремонт металлического ограждения</t>
  </si>
  <si>
    <t>ремонт оконных переплетов</t>
  </si>
  <si>
    <t>ремонт металлических ограждений</t>
  </si>
  <si>
    <t>Ремонт кровли</t>
  </si>
  <si>
    <t>Навеска дверных полотен б/у, люков на чердак</t>
  </si>
  <si>
    <t>Ремонт цементной стяжки</t>
  </si>
  <si>
    <t>Навеска дверных полотен, люков на чердак</t>
  </si>
  <si>
    <t>Промывка радиаторов в квартире</t>
  </si>
  <si>
    <t>Ремонт второго подъезда</t>
  </si>
  <si>
    <t>Промывка системы отопления</t>
  </si>
  <si>
    <t>Ремонт элеваторных узлов</t>
  </si>
  <si>
    <t>Приваривание навесов к металлической двери</t>
  </si>
  <si>
    <t>Теплоизоляция трубопроводов минватой</t>
  </si>
  <si>
    <t>Ремонт четвертого подъезда</t>
  </si>
  <si>
    <t>Изготовление деревянных щитов на вент.шахты</t>
  </si>
  <si>
    <t>Ремонт подъедного отопления</t>
  </si>
  <si>
    <t>Герметизация межпанельных швов</t>
  </si>
  <si>
    <t xml:space="preserve">Утепление металлической двери </t>
  </si>
  <si>
    <t>Остекление (2,5 м2)</t>
  </si>
  <si>
    <t>Ремонт парапетов из жести</t>
  </si>
  <si>
    <t>Установка распределительных коробок с пр.проводов</t>
  </si>
  <si>
    <t>Установка распределительных коробок с зам.провода</t>
  </si>
  <si>
    <t>Установка распределительных коробок с пр.провода</t>
  </si>
  <si>
    <t xml:space="preserve">демонтаж и монтаж деревянных чердачных перекрытий </t>
  </si>
  <si>
    <t>Закладка подвальных окон</t>
  </si>
  <si>
    <t>Ремонт пола, порогов</t>
  </si>
  <si>
    <t>Ремонт полов, порогов</t>
  </si>
  <si>
    <t>Теплоизоляция трубопровода минватой</t>
  </si>
  <si>
    <t>Ремонт деревянных перил</t>
  </si>
  <si>
    <t>Ремонт продъездного отопления</t>
  </si>
  <si>
    <t>Установка вентилей сбросников</t>
  </si>
  <si>
    <t>Ремонт элеваторного узла</t>
  </si>
  <si>
    <t xml:space="preserve">ремонт, ревизия элеваторных узлов </t>
  </si>
  <si>
    <t>Прокладка электро-провода</t>
  </si>
  <si>
    <t>Заделка подвальных окон</t>
  </si>
  <si>
    <t>Навеска дверных полотен на чердак</t>
  </si>
  <si>
    <t>Утепление помещений</t>
  </si>
  <si>
    <t>Утепление чердачных помещений</t>
  </si>
  <si>
    <t>Ремонт козырька над входом в подъезд</t>
  </si>
  <si>
    <t>Утепление металлической двери</t>
  </si>
  <si>
    <t>Ремонт мусорных рундуков</t>
  </si>
  <si>
    <t>Ремонт металлоконструкций</t>
  </si>
  <si>
    <t>Заделка отверстий в мусорном стволе</t>
  </si>
  <si>
    <t>Ремонт отверстий в мусорном стволе</t>
  </si>
  <si>
    <t>Ремонт мусорных рундуков, отверстий в мусорных стволах</t>
  </si>
  <si>
    <t>Ремонт КНС</t>
  </si>
  <si>
    <t xml:space="preserve">Замена трубопроводов </t>
  </si>
  <si>
    <t>Остекление ( м2)</t>
  </si>
  <si>
    <t>Установка металлической входной двери -  шт.</t>
  </si>
  <si>
    <t>Установка металлической входной двери  шт.</t>
  </si>
  <si>
    <t>Установка входной деревянной двери -  щт.</t>
  </si>
  <si>
    <t>Теплоизоляция трубопроводов минватой (м3)</t>
  </si>
  <si>
    <t>Изготовление, укладка трапов</t>
  </si>
  <si>
    <t>Установка почтовых ящиков</t>
  </si>
  <si>
    <t>ремонт козырьков над балконами</t>
  </si>
  <si>
    <t>Остекление (м2)</t>
  </si>
  <si>
    <t>Теплоизоляция трубопроводов мин.ватой (м3)</t>
  </si>
  <si>
    <t>Теплоизоляция трубопроводов мин.ватой</t>
  </si>
  <si>
    <t xml:space="preserve">Частичный ремонт кровли </t>
  </si>
  <si>
    <t>1985 г.</t>
  </si>
  <si>
    <t>800,2 м2</t>
  </si>
  <si>
    <t>96,6 м2</t>
  </si>
  <si>
    <t>816,0 м2</t>
  </si>
  <si>
    <t>92,0 м2</t>
  </si>
  <si>
    <t>1986 г.</t>
  </si>
  <si>
    <t>826,5 м2</t>
  </si>
  <si>
    <t>101,5 м2</t>
  </si>
  <si>
    <t>1988 г.</t>
  </si>
  <si>
    <t>4250,3 м2</t>
  </si>
  <si>
    <t>424,5 м2</t>
  </si>
  <si>
    <t>817,6 м2</t>
  </si>
  <si>
    <t>102,7 м2</t>
  </si>
  <si>
    <t>1983 г.</t>
  </si>
  <si>
    <t>3668,7 м2</t>
  </si>
  <si>
    <t>403,5 м2</t>
  </si>
  <si>
    <t>1980 г.</t>
  </si>
  <si>
    <t>6509,2 м2</t>
  </si>
  <si>
    <t>764,1 м2</t>
  </si>
  <si>
    <t>1992 г.</t>
  </si>
  <si>
    <t>808,1 м2</t>
  </si>
  <si>
    <t>99,7 м2</t>
  </si>
  <si>
    <t>1994 г.</t>
  </si>
  <si>
    <t>790,2 м2</t>
  </si>
  <si>
    <t>101,6 м2</t>
  </si>
  <si>
    <t>1979 г.</t>
  </si>
  <si>
    <t>6507,6 м2</t>
  </si>
  <si>
    <t>767,9 м2</t>
  </si>
  <si>
    <t>5877,2 м2</t>
  </si>
  <si>
    <t>642,4 м2</t>
  </si>
  <si>
    <t>1991 г.</t>
  </si>
  <si>
    <t>2937,4 м2</t>
  </si>
  <si>
    <t>455,6 м2</t>
  </si>
  <si>
    <t>2291,3 м2</t>
  </si>
  <si>
    <t>452,3 м2</t>
  </si>
  <si>
    <t>1995 г.</t>
  </si>
  <si>
    <t>1475,3 м2</t>
  </si>
  <si>
    <t>230,6 м2</t>
  </si>
  <si>
    <t>1978 г.</t>
  </si>
  <si>
    <t>1999 м2</t>
  </si>
  <si>
    <t>2808,4 м2</t>
  </si>
  <si>
    <t>447,8 м2</t>
  </si>
  <si>
    <t>4334,1 м2</t>
  </si>
  <si>
    <t>472,0 м2</t>
  </si>
  <si>
    <t>684,4 м2</t>
  </si>
  <si>
    <t>112,1 м2</t>
  </si>
  <si>
    <t>1987 г.</t>
  </si>
  <si>
    <t>8449,3 м2</t>
  </si>
  <si>
    <t>1431,0 м2</t>
  </si>
  <si>
    <t>1989 г.</t>
  </si>
  <si>
    <t>2768,0 м2</t>
  </si>
  <si>
    <t>458,7 м2</t>
  </si>
  <si>
    <t>2760,3 м2</t>
  </si>
  <si>
    <t>461,6 м2</t>
  </si>
  <si>
    <t>1984 г.</t>
  </si>
  <si>
    <t>4937,8 м2</t>
  </si>
  <si>
    <t>666,4 м2</t>
  </si>
  <si>
    <t>2923,5 м2</t>
  </si>
  <si>
    <t>316,1 м2</t>
  </si>
  <si>
    <t>1982 г.</t>
  </si>
  <si>
    <t>2922,4 м2</t>
  </si>
  <si>
    <t>1455,2 м2</t>
  </si>
  <si>
    <t>1499,1 м2</t>
  </si>
  <si>
    <t>1066,7 м2</t>
  </si>
  <si>
    <t>2840,2 м2</t>
  </si>
  <si>
    <t>318,3 м2</t>
  </si>
  <si>
    <t>1981 г.</t>
  </si>
  <si>
    <t>5615,2 м2</t>
  </si>
  <si>
    <t>902,0 м2</t>
  </si>
  <si>
    <t>6580,9 м2</t>
  </si>
  <si>
    <t>733,9 м2</t>
  </si>
  <si>
    <t>2879,2 м2</t>
  </si>
  <si>
    <t>320,3 м2</t>
  </si>
  <si>
    <t>1149,5 м2</t>
  </si>
  <si>
    <t>914,5 м2</t>
  </si>
  <si>
    <t>4310,7 м2</t>
  </si>
  <si>
    <t>490,7 м2</t>
  </si>
  <si>
    <t>2560,5 м2</t>
  </si>
  <si>
    <t>318,5 м2</t>
  </si>
  <si>
    <t>2202,3 м2</t>
  </si>
  <si>
    <t>235,6 м2</t>
  </si>
  <si>
    <t>5734,2 м2</t>
  </si>
  <si>
    <t>683,9 м2</t>
  </si>
  <si>
    <t>1997 г.</t>
  </si>
  <si>
    <t>1945,2 м2</t>
  </si>
  <si>
    <t>230,9 м2</t>
  </si>
  <si>
    <t>1997,г.</t>
  </si>
  <si>
    <t>242,6 м2</t>
  </si>
  <si>
    <t>5949,0 м2</t>
  </si>
  <si>
    <t>1038,6 м2</t>
  </si>
  <si>
    <t>2727,3 м2</t>
  </si>
  <si>
    <t>452,1 м2</t>
  </si>
  <si>
    <t>7282,8 м2</t>
  </si>
  <si>
    <t>814,0 м2</t>
  </si>
  <si>
    <t>2122,1 м2</t>
  </si>
  <si>
    <t>249,3 м2</t>
  </si>
  <si>
    <t>6480,5 м2</t>
  </si>
  <si>
    <t>823,9 м2</t>
  </si>
  <si>
    <t>3641,2 м2</t>
  </si>
  <si>
    <t>406,0 м2</t>
  </si>
  <si>
    <t>748,0 м2</t>
  </si>
  <si>
    <t>240,9 м2</t>
  </si>
  <si>
    <t>1993 г.</t>
  </si>
  <si>
    <t>6782,2 м2</t>
  </si>
  <si>
    <t>1391,2 м2</t>
  </si>
  <si>
    <t>3496,3 м2</t>
  </si>
  <si>
    <t>688,3 м2</t>
  </si>
  <si>
    <t>Ремонт системы отопления с 1-4 подъезды</t>
  </si>
  <si>
    <t>Пеннер Н.А.</t>
  </si>
  <si>
    <t>Установка и изготовление металлических перил</t>
  </si>
  <si>
    <t>Изготовление и установка металлических перил</t>
  </si>
  <si>
    <t>Рнмонт металлоконструкций</t>
  </si>
  <si>
    <t>Заделка выбоин в полах, ремонт порогов</t>
  </si>
  <si>
    <t>Установка оконной рамы</t>
  </si>
  <si>
    <t>Устройство козырька над входом в подъезд</t>
  </si>
  <si>
    <t>Изготовление дощатых настилов, коробов</t>
  </si>
  <si>
    <t>Заделка швов в тамбуре</t>
  </si>
  <si>
    <t>Планировка грунта</t>
  </si>
  <si>
    <t>Ремонт ступеней</t>
  </si>
  <si>
    <t>Очистка от мусора чердака, подвала</t>
  </si>
  <si>
    <t>Заделка подвальных окон, коробов</t>
  </si>
  <si>
    <t>ремонт ступенек</t>
  </si>
  <si>
    <t xml:space="preserve">Ремонт подъездного отопления </t>
  </si>
  <si>
    <t>1979,5 м2</t>
  </si>
  <si>
    <t>Установка деревянных стоек в подвальном помещении</t>
  </si>
  <si>
    <t>Установка металлической утепленной двери</t>
  </si>
  <si>
    <t>Кладка кирпичной стены и перегородок</t>
  </si>
  <si>
    <t>Ревизия, ремонт элеватора</t>
  </si>
  <si>
    <t>Ревизия элеваторного узла</t>
  </si>
  <si>
    <t xml:space="preserve">Киевская-5 </t>
  </si>
  <si>
    <t xml:space="preserve">Утепление помещений </t>
  </si>
  <si>
    <t>Установка перил</t>
  </si>
  <si>
    <t>Установка вентилей-сбросников</t>
  </si>
  <si>
    <t>Очистка кровли от сосулек и снега</t>
  </si>
  <si>
    <t>Строительные работы:</t>
  </si>
  <si>
    <t>Текущий ремонт</t>
  </si>
  <si>
    <t>Сантехнические работы:</t>
  </si>
  <si>
    <t>Электротехнические работы:</t>
  </si>
  <si>
    <t>ВСЕГО:</t>
  </si>
  <si>
    <t xml:space="preserve">Установка перил </t>
  </si>
  <si>
    <t>Установка нового металлического дверного блока, утепленного</t>
  </si>
  <si>
    <t>Ремонт козырьков над балконами кв.</t>
  </si>
  <si>
    <t>Навеска дверных полотен люков на чердак, замков</t>
  </si>
  <si>
    <t>Навеска дверных полотен, люков на чердак, замков</t>
  </si>
  <si>
    <t>ремонт, установка перил</t>
  </si>
  <si>
    <t>Замена сгонов, заглушек, сборок, вентилей-сбросников</t>
  </si>
  <si>
    <t xml:space="preserve">Ремонт ступеней крыльца </t>
  </si>
  <si>
    <t xml:space="preserve">Установка деревянной входной двери  шт. </t>
  </si>
  <si>
    <t>Утепление подвальных, чердачных окон (м3)</t>
  </si>
  <si>
    <t>Установка деревянной двери  шт.</t>
  </si>
  <si>
    <t>Ремонт козырьков над балконами</t>
  </si>
  <si>
    <t>Установка деревянной входной двери -  шт.</t>
  </si>
  <si>
    <t>Утепление ввода в дом минватой ( м3)</t>
  </si>
  <si>
    <t xml:space="preserve">Установка металлической двери </t>
  </si>
  <si>
    <t xml:space="preserve">Установка деревянной входной двери -   шт. </t>
  </si>
  <si>
    <t>Установка металлической утепленной двери ( шт.)</t>
  </si>
  <si>
    <t xml:space="preserve">Ремонт козырьков входа в подъезд </t>
  </si>
  <si>
    <t>Обшивка стены ДСП</t>
  </si>
  <si>
    <t>Заделка выбоин в полах</t>
  </si>
  <si>
    <t>Заделка отверстий в мус.стволе, подвальных окон</t>
  </si>
  <si>
    <t>Ремонт металлоконструкций, металлического ограждения</t>
  </si>
  <si>
    <t>Заделка вентшахт кирпичом и фанерой</t>
  </si>
  <si>
    <t>Обшивка стены ДВП</t>
  </si>
  <si>
    <t>закладка подвальных окон, вентшахт</t>
  </si>
  <si>
    <t>ремонт цементной стяжки полов, выбоин в полах</t>
  </si>
  <si>
    <t>Ремонт подъездов</t>
  </si>
  <si>
    <t>Переукладка пешеходных плит</t>
  </si>
  <si>
    <t>Ремонт входного крыльца</t>
  </si>
  <si>
    <t>Ремонт кирпичной кладки ввода в дом</t>
  </si>
  <si>
    <t>Изготовление дощатых настилов, коробов, вводов в дом</t>
  </si>
  <si>
    <t>Ремонт кирпичной кладки под входным крыльцом 1 п-д</t>
  </si>
  <si>
    <t>Ремонт кирпичной кладки на чердаке, в подвале</t>
  </si>
  <si>
    <t>Устр-во покрытия входного козырька из жести</t>
  </si>
  <si>
    <t>Ремонт крылец</t>
  </si>
  <si>
    <t>Ремонт кирпичной кладки</t>
  </si>
  <si>
    <t>Установка вентилей (сбросников)</t>
  </si>
  <si>
    <t>Герметизация межпанельных швов (54 п.м.)</t>
  </si>
  <si>
    <t xml:space="preserve">Ремонт металлческих ограждений, металлоконструкций </t>
  </si>
  <si>
    <t>Замена сборок, заглушек, сгонов</t>
  </si>
  <si>
    <t>Закладка подвальных окон, отверстий</t>
  </si>
  <si>
    <t>Ремонт, устройство ступеней</t>
  </si>
  <si>
    <t>Установка вентилей-сбросников, замена, ремонт сгонов, заглушек, сборок</t>
  </si>
  <si>
    <t>Промазка входного козырька битумом</t>
  </si>
  <si>
    <t>Утепление стены в мусорокамере</t>
  </si>
  <si>
    <t>Ремонт поручней</t>
  </si>
  <si>
    <t>Ремонт металлической решетки</t>
  </si>
  <si>
    <t>Ремонт кирпичной кладки стены</t>
  </si>
  <si>
    <t>Крепление фартуков на межсекционные швы</t>
  </si>
  <si>
    <t>Утепление минватой (0,3 м3)</t>
  </si>
  <si>
    <t>Прокладка кабель-канала с электропроводом</t>
  </si>
  <si>
    <t>Утепление помещений, подвала, чердака, подъезда</t>
  </si>
  <si>
    <t>2018 год</t>
  </si>
  <si>
    <t>Трубы ПХВ на КНС (3 п.м.)</t>
  </si>
  <si>
    <t>Теплоизоляция трубопровода минватой (2,7 м3)</t>
  </si>
  <si>
    <t>Теплоизоляция минватой трубопровода (0,8 м3)</t>
  </si>
  <si>
    <t>Установка металлической двери на ВРУ</t>
  </si>
  <si>
    <t>Утепление минватой ( м3)</t>
  </si>
  <si>
    <t>Теплоизоляция трубопровода минватой ( м3)</t>
  </si>
  <si>
    <t>Теплоизоляция трубопроводов минватой ( м3)</t>
  </si>
  <si>
    <t>Утепление трубопроводов минватой ( м3)</t>
  </si>
  <si>
    <t>Теплоизоляция трубопровода м.в. ( м3)</t>
  </si>
  <si>
    <t>Теплоизоляция трубопроводов мин.ватой ( м3)</t>
  </si>
  <si>
    <t>теплоизоляция трубопроводов (4,1 м3)</t>
  </si>
  <si>
    <t>установка новых металлических дверей (1 шт.)</t>
  </si>
  <si>
    <t>Замена трубопровода на пропилен (24 п.м.)</t>
  </si>
  <si>
    <t>Заделка фанерой канализ.шахты, коробов</t>
  </si>
  <si>
    <t>Теплоизоляция трубопроводов минватой (0,3 м3)</t>
  </si>
  <si>
    <t>Теплоизоляция трубопр. минватой (0,4 м3)</t>
  </si>
  <si>
    <t>Теплоизоляция трубопровода м.в. (0,2 м3)</t>
  </si>
  <si>
    <t>Ремонт металлоконструкций при помощи сварки</t>
  </si>
  <si>
    <t>Установка дверного полотна б/у, 1 шт.</t>
  </si>
  <si>
    <t>Ремонт полов</t>
  </si>
  <si>
    <t>Изготовление снеговых лопат</t>
  </si>
  <si>
    <t>Очистка от крупного мусора и его вывоз</t>
  </si>
  <si>
    <t>Укладка пленки на чердачных помещениях</t>
  </si>
  <si>
    <t>Посыпка шлаком придомовой территории</t>
  </si>
  <si>
    <t>Трубы ПХВ на КНС (6 п.м.)</t>
  </si>
  <si>
    <t>Трубы ПХВ на КНС (2,5 п.м.)</t>
  </si>
  <si>
    <t>Замена запорной арматуры (1 шт.)</t>
  </si>
  <si>
    <t>Ревизия запорной арматуры (3 шт.)</t>
  </si>
  <si>
    <t>Замена запорной арматуры (2 шт.)</t>
  </si>
  <si>
    <t>Замена трубопровода на пропилен (3 п.м.)</t>
  </si>
  <si>
    <t>ритуальная служба (тр.ПХВ на КНС+замена труб.)</t>
  </si>
  <si>
    <t xml:space="preserve">Ремонт отопления </t>
  </si>
  <si>
    <t>план</t>
  </si>
  <si>
    <t>при сборе 75%</t>
  </si>
  <si>
    <t>Очистка входных козырьков от мусора</t>
  </si>
  <si>
    <t>Ревизия запорной арматуры (4 шт.)</t>
  </si>
  <si>
    <t xml:space="preserve">Частичный ремонт кровли  </t>
  </si>
  <si>
    <t>Замена запорной арматуры  (4 шт.)</t>
  </si>
  <si>
    <t>Ревизия запорной арматуры (2 шт.)</t>
  </si>
  <si>
    <t>Ремонт шва между тамбуром и домом, 4-й п-д, (20 п.м.)</t>
  </si>
  <si>
    <t>Замена запорной арматуры (10 шт.)</t>
  </si>
  <si>
    <t>Установка нового деревянного блока (2 шт.)</t>
  </si>
  <si>
    <t>Очистка от мусора</t>
  </si>
  <si>
    <t>Замена запорной арматуры (5 шт.)</t>
  </si>
  <si>
    <t>Ревизия запорной арматуры (5 шт.)</t>
  </si>
  <si>
    <t>Трубы ПХВ на КНС (42 п.м.)</t>
  </si>
  <si>
    <t>Установка деревянного блока б/у  шт.</t>
  </si>
  <si>
    <t>Укладка полиэтиленовой пленки на чердак</t>
  </si>
  <si>
    <t>Замена запорной арматуры (8 шт.)</t>
  </si>
  <si>
    <t>Замена трубопровода на пропилен (3 м.п.)</t>
  </si>
  <si>
    <t>Установка вентилей-сбросников (11 шт.)</t>
  </si>
  <si>
    <t>.</t>
  </si>
  <si>
    <t>Замена запорной арматуры (6 шт.)</t>
  </si>
  <si>
    <t>Смена трубопровода (5 п.м.)</t>
  </si>
  <si>
    <t>Трубы ПХВ на КНС (12 п.м.)</t>
  </si>
  <si>
    <t>сложить</t>
  </si>
  <si>
    <t>Установка вентилей сбросников (4 шт.)</t>
  </si>
  <si>
    <t>Установка деревянной входной двери - 1 шт. (б/у)</t>
  </si>
  <si>
    <t>Переукладка тротуарных плит</t>
  </si>
  <si>
    <t>Герметизация межпанельных швов (108 п.м.)</t>
  </si>
  <si>
    <t>Замена запорной арматуры (20 шт.)</t>
  </si>
  <si>
    <t>Ревизия запорной арматуры (6 шт.)</t>
  </si>
  <si>
    <t>Замена трубопровода на пропилен (5 п.м.)</t>
  </si>
  <si>
    <t>Ремонт элеваторов (2 шт.)</t>
  </si>
  <si>
    <t>Установка новой деревянной вход. двери (1 шт.)</t>
  </si>
  <si>
    <t>Герметизация межпанельных швов ( п.м.)</t>
  </si>
  <si>
    <t>Замена запорной арматуры (4 шт.)</t>
  </si>
  <si>
    <t>Трубы ПХВ на КНС (8 п.м.)</t>
  </si>
  <si>
    <t>Замена трубопровода на пропилен (7,5 п.м.)</t>
  </si>
  <si>
    <t>Трубы ПХВ на КНС (10 п.м.)</t>
  </si>
  <si>
    <t>Ремонт козырька над входом в подъезд № 2</t>
  </si>
  <si>
    <t>Герметизация межпанельных швов ( м.п.)</t>
  </si>
  <si>
    <t>Ремонт КНС трубопровода с прочисткой (15 п.м.)</t>
  </si>
  <si>
    <t>Донецкая-3</t>
  </si>
  <si>
    <t>1429,1 м2</t>
  </si>
  <si>
    <t>Изготовление деревянного трапа</t>
  </si>
  <si>
    <t>162,2 м2</t>
  </si>
  <si>
    <t>Частичная промазка битумом кровли, 4-й п-д</t>
  </si>
  <si>
    <t>Крепление м/п металлических фартуков</t>
  </si>
  <si>
    <t>Замена запорной арматуры (24 шт.)</t>
  </si>
  <si>
    <t>Ревизия запорной арматуры (16 шт.)</t>
  </si>
  <si>
    <t>Трубы ПХВ на КНС (4,5 п.м.)</t>
  </si>
  <si>
    <t>Замена, ремонт сгонов, заглушек, сборок (2 шт.)</t>
  </si>
  <si>
    <t>Замена трубопроводов на пропилен (1 м.п.)</t>
  </si>
  <si>
    <t>Остекление (4,7 м2)</t>
  </si>
  <si>
    <t>Навеска дверных полотен б/у  шт.</t>
  </si>
  <si>
    <t>Ремонт кровли, 12-й подъезд (240 м2)</t>
  </si>
  <si>
    <t>Ремонт козырька над балконом кв.№ 122</t>
  </si>
  <si>
    <t>Очистка подъездных козырьков от мусора</t>
  </si>
  <si>
    <t>Замена запорной арматуры (32 шт.)</t>
  </si>
  <si>
    <t>Ревизия запорной арматуры (15 шт.)</t>
  </si>
  <si>
    <t>Трубы ПХВ на КНС (7 п.м.)</t>
  </si>
  <si>
    <t>Замена сгонов, заглушек, сборок (9 шт.)</t>
  </si>
  <si>
    <t>Замена трубопровода на пропилен (9 м.п.)</t>
  </si>
  <si>
    <t>Ремонт элеваторов (1 шт.)</t>
  </si>
  <si>
    <t>Смена трубопроводов (1,5 п.м.)</t>
  </si>
  <si>
    <t>Трубы ПХВ на КНС (5 п.м.)</t>
  </si>
  <si>
    <t>Частичный ремонт кровли</t>
  </si>
  <si>
    <t>Трубы ПХВ на КНС (1,5 п.м.)</t>
  </si>
  <si>
    <t>Установка металлической двери 1 шт.</t>
  </si>
  <si>
    <t>Установка деревянной двери (б/у) 1 шт.</t>
  </si>
  <si>
    <t>Установка почтовых ящиков (2 шт.)</t>
  </si>
  <si>
    <t>Герметизация межпанельных швов (154 п.м.)</t>
  </si>
  <si>
    <t>Замена трубопровода на пропилен (7 п.м.)</t>
  </si>
  <si>
    <t>Трубы ПХВ на КНС (12,5 п.м.)</t>
  </si>
  <si>
    <t>Установка вентилей-сбросников, замена сгонов, заглушек 4 шт.</t>
  </si>
  <si>
    <t>Ремонт элеваторного узла (5 шт.)</t>
  </si>
  <si>
    <t>Герметизация межпанельных швов (49,05 п.м.)</t>
  </si>
  <si>
    <t>Ревизия запорной арматуры (11 шт.)</t>
  </si>
  <si>
    <t>Замена трубопровода на пропилен (6 п.м.)</t>
  </si>
  <si>
    <t>Установка вентилей-сбросников, замена сгонов, заглушек (2 шт.)</t>
  </si>
  <si>
    <t>Ремонт элеваторов (3 шт.)</t>
  </si>
  <si>
    <t>Трубы ПХВ на КНС (7,5 м.п.)</t>
  </si>
  <si>
    <t>Остекление (25 м2)</t>
  </si>
  <si>
    <t>Бетонирование площадки входа в подъезд</t>
  </si>
  <si>
    <t>Очистка от крупного мусора</t>
  </si>
  <si>
    <t>Замена запорной арматуры (18 шт.)</t>
  </si>
  <si>
    <t>Установка вентилей сбросников, сгонов, заглушек, сборок (8 шт.)</t>
  </si>
  <si>
    <t>Ремонт элеватора (1 шт.)</t>
  </si>
  <si>
    <t xml:space="preserve">Промывка системы отопления </t>
  </si>
  <si>
    <t>Частичный ремонт кровли, 1-й подъезд</t>
  </si>
  <si>
    <t>Ремонт балконного козырька кв.№ 13</t>
  </si>
  <si>
    <t>Переукладка тротуаров из плит</t>
  </si>
  <si>
    <t>Герметизация м/п швов ( п.м.)</t>
  </si>
  <si>
    <t xml:space="preserve">Ремонт козырька над балконом </t>
  </si>
  <si>
    <t>Замена запорной арматуры (16 шт.)</t>
  </si>
  <si>
    <t>Ревизия запорной арматуры (14 шт.)</t>
  </si>
  <si>
    <t xml:space="preserve">Установка вентилей сбросников (16 шт.) </t>
  </si>
  <si>
    <t>Замена, ремонт сгонов, заглушек, сборок (4 шт.)</t>
  </si>
  <si>
    <t>Смена трубопроводов (6 п.м.)</t>
  </si>
  <si>
    <t>Трубы ПХВ на КНС (41 п.м.)</t>
  </si>
  <si>
    <t>Ремонт кровли в один слой, 2-й п-д</t>
  </si>
  <si>
    <t>Изготовление дощатых настилов, коробов, вводов</t>
  </si>
  <si>
    <t>Ревизия запорной арматуры (22 шт.)</t>
  </si>
  <si>
    <t>Замена сгонов, заглущек, сборок, вентилей сбросников (2 шт.)</t>
  </si>
  <si>
    <t>Замена трубопровода на пропилен (1,5 п.м.)</t>
  </si>
  <si>
    <t xml:space="preserve">Ремонт кровли </t>
  </si>
  <si>
    <t>Ремонт подъездов № 3, № 4</t>
  </si>
  <si>
    <t>Герметизация температурного шва ( п.м.)</t>
  </si>
  <si>
    <t>Замена запорной арматуры (11 шт.)</t>
  </si>
  <si>
    <t>Ревизия запорной арматуры (1 шт.)</t>
  </si>
  <si>
    <t>Замена трубопроводов на пропилен (12 п.м.)</t>
  </si>
  <si>
    <t>Установка вентилей (сбросников) (12 шт.)</t>
  </si>
  <si>
    <t>Установка новой дерев.входной двери (1 шт.)</t>
  </si>
  <si>
    <t>Устройство входного козырька</t>
  </si>
  <si>
    <t>Замена запорной арматуры (9 шт.)</t>
  </si>
  <si>
    <t>Ревизия запорной арматуры (18 шт.)</t>
  </si>
  <si>
    <t>Устройство козырька (1,2,4 п-ды)</t>
  </si>
  <si>
    <t>Труба ПХВ на КНС (4,5 п.м.)</t>
  </si>
  <si>
    <t>Замена трубопровода на пропилен (4 п.м.)</t>
  </si>
  <si>
    <t>Ревизия запорной арматуры (7 шт.)</t>
  </si>
  <si>
    <t>Замена трубопровода (2 п.м.)</t>
  </si>
  <si>
    <t>Труба ПХВ на КНС (2,5 м.п.)</t>
  </si>
  <si>
    <t>Ремонт элеваторного узла (3 шт.)</t>
  </si>
  <si>
    <t xml:space="preserve">Устройство козырька </t>
  </si>
  <si>
    <t>Герметизация межпанельных швов (25 п.м.)</t>
  </si>
  <si>
    <t>Замена запорной арматуры (21 шт.)</t>
  </si>
  <si>
    <t>Ревизия запорной арматуры (19 шт.)</t>
  </si>
  <si>
    <t>Труба ПХВ на КНС (10,5 п.м.)</t>
  </si>
  <si>
    <t>Замена трубопровода на пропилен (41,5 п.м.)</t>
  </si>
  <si>
    <t>Ремонт элеваторов (8 шт.)</t>
  </si>
  <si>
    <t>Установка вентилей-сбросников (8 шт.)</t>
  </si>
  <si>
    <t xml:space="preserve">Установка дверного блока </t>
  </si>
  <si>
    <t>Ремонт балконного козырька кв.№ 29</t>
  </si>
  <si>
    <t>Заделка выбоин входного крыльца</t>
  </si>
  <si>
    <t>Ремонт деревянных ступеней</t>
  </si>
  <si>
    <t>Устр-во обмазочной пароизоляции</t>
  </si>
  <si>
    <t>Герметизация межпанельных швов (40 п.м.)</t>
  </si>
  <si>
    <t>Замена запорной арматуры (38 шт.)</t>
  </si>
  <si>
    <t>Замена трубопровода (14,5 п.м.)</t>
  </si>
  <si>
    <t>Труба ПХВ на КНС (54 п.м.)</t>
  </si>
  <si>
    <t>Смена трубопроводов (3 п.м.)</t>
  </si>
  <si>
    <t>зачеканка стыков</t>
  </si>
  <si>
    <t>Герметизация межпанельных швов (21 п.м.)</t>
  </si>
  <si>
    <t>Замена запорной арматуры (23 шт.)</t>
  </si>
  <si>
    <t>Ревизия запорной арматуры (13 шт.)</t>
  </si>
  <si>
    <t>Замена, ремонт сгонов, заглушек, сборок (12 шт.)</t>
  </si>
  <si>
    <t>Смена трубопроводов (8 п.м.)</t>
  </si>
  <si>
    <t>Ремонт элеваторных узлов (3 шт.)</t>
  </si>
  <si>
    <t>Остекление (1,78 м2)</t>
  </si>
  <si>
    <t>Герметизация межпанельных швов (164 п.м.)</t>
  </si>
  <si>
    <t>Замена трубопровода (1 п.м.)</t>
  </si>
  <si>
    <t>Ремонт козырька над балконом</t>
  </si>
  <si>
    <t>Установка дверного блока</t>
  </si>
  <si>
    <t>Замена запорной арматуры (15 шт.)</t>
  </si>
  <si>
    <t>Ревизия запорной арматуры (10 шт.)</t>
  </si>
  <si>
    <t>Замена трубопровода (7 п.м.)</t>
  </si>
  <si>
    <t>Установка вентилей сбросников (3 шт.)</t>
  </si>
  <si>
    <t>Ремонт элеваторного узла (9 шт.)</t>
  </si>
  <si>
    <t>Трубы ПХВ на КНС (9 п.м.)</t>
  </si>
  <si>
    <t>Герметизация межпанельных швов (129 п.м.)</t>
  </si>
  <si>
    <t>Замена запорной арматуры (7 шт.)</t>
  </si>
  <si>
    <t>Замена сгонов, заглушек, сборок, вент.сбросников (3 шт.)</t>
  </si>
  <si>
    <t>Установка новой дерев.входной двери (2 шт.)</t>
  </si>
  <si>
    <t>Герметизация межпанельных швов (972,36 п.м.)</t>
  </si>
  <si>
    <t>Герметизация межпанельных швов (21,05 п.м.)</t>
  </si>
  <si>
    <t>Смена трубопроводов (1 п.м.)</t>
  </si>
  <si>
    <t>Ремонт кровли п-д № 4 (315 м2)</t>
  </si>
  <si>
    <t>Замена запорной арматуры (12 шт.)</t>
  </si>
  <si>
    <t>Замена сгонов, заглушек сборок (4 шт.)</t>
  </si>
  <si>
    <t>Замена трубопровода (13 п.м.)</t>
  </si>
  <si>
    <t>Замена запорной арматуры (14 шт.)</t>
  </si>
  <si>
    <t>Замена трубопровода (1,5 п.м.)</t>
  </si>
  <si>
    <t>Установка вентилей-сбросников, замена, ремонт заглушек, сгонов, сборок (2 шт.)</t>
  </si>
  <si>
    <t>Трубы ПХВ на КНС (11 м.п.)</t>
  </si>
  <si>
    <t>остекление (46,08 м2)</t>
  </si>
  <si>
    <t>установка деревянных дверей  3 шт. (б/у)</t>
  </si>
  <si>
    <t>установка деревянных дверей 6 шт. (новая)</t>
  </si>
  <si>
    <t>замена запорной арматуры (384 шт.)</t>
  </si>
  <si>
    <t>ревизия запорной арматуры (249 шт.)</t>
  </si>
  <si>
    <t>замена трубопроводов (189,5 шт.)</t>
  </si>
  <si>
    <t>установка вентилей-сбросников, заглушек, сгонов, сборок (90 шт.)</t>
  </si>
  <si>
    <t>трубы ПХВ на КНС (307,5 п.м.)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</si>
</sst>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%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0.0000"/>
    <numFmt numFmtId="180" formatCode="0.000"/>
  </numFmts>
  <fonts count="45">
    <font>
      <sz val="10"/>
      <name val="Arial Cyr"/>
      <family val="0"/>
    </font>
    <font>
      <sz val="12"/>
      <name val="Arial Cyr"/>
      <family val="0"/>
    </font>
    <font>
      <b/>
      <u val="single"/>
      <sz val="14"/>
      <name val="Arial Cyr"/>
      <family val="0"/>
    </font>
    <font>
      <sz val="14"/>
      <name val="Arial Cyr"/>
      <family val="2"/>
    </font>
    <font>
      <b/>
      <u val="single"/>
      <sz val="16"/>
      <name val="Arial Cyr"/>
      <family val="0"/>
    </font>
    <font>
      <b/>
      <u val="single"/>
      <sz val="18"/>
      <name val="Arial Cyr"/>
      <family val="0"/>
    </font>
    <font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0" xfId="0" applyFont="1" applyBorder="1" applyAlignment="1">
      <alignment horizontal="center"/>
    </xf>
    <xf numFmtId="172" fontId="2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3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20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3.00390625" style="1" customWidth="1"/>
    <col min="2" max="2" width="59.125" style="2" customWidth="1"/>
    <col min="3" max="3" width="25.875" style="2" customWidth="1"/>
    <col min="4" max="4" width="27.00390625" style="2" customWidth="1"/>
    <col min="5" max="16384" width="9.125" style="2" customWidth="1"/>
  </cols>
  <sheetData>
    <row r="1" spans="3:4" ht="23.25">
      <c r="C1" s="9" t="s">
        <v>361</v>
      </c>
      <c r="D1" s="13" t="s">
        <v>394</v>
      </c>
    </row>
    <row r="2" ht="18">
      <c r="D2" s="13" t="s">
        <v>395</v>
      </c>
    </row>
    <row r="4" spans="1:4" ht="20.25">
      <c r="A4" s="1" t="s">
        <v>170</v>
      </c>
      <c r="B4" s="8" t="s">
        <v>17</v>
      </c>
      <c r="D4" s="7">
        <v>39753.9</v>
      </c>
    </row>
    <row r="5" spans="1:3" ht="18">
      <c r="A5" s="1" t="s">
        <v>171</v>
      </c>
      <c r="B5" s="2" t="s">
        <v>60</v>
      </c>
      <c r="C5" s="6"/>
    </row>
    <row r="6" spans="1:3" ht="18">
      <c r="A6" s="1" t="s">
        <v>172</v>
      </c>
      <c r="B6" s="4" t="s">
        <v>80</v>
      </c>
      <c r="C6" s="6">
        <f>1244+226</f>
        <v>1470</v>
      </c>
    </row>
    <row r="7" spans="2:3" ht="18">
      <c r="B7" s="4" t="s">
        <v>78</v>
      </c>
      <c r="C7" s="6">
        <f>1133</f>
        <v>1133</v>
      </c>
    </row>
    <row r="8" spans="2:3" ht="18">
      <c r="B8" s="4" t="s">
        <v>396</v>
      </c>
      <c r="C8" s="6">
        <f>89</f>
        <v>89</v>
      </c>
    </row>
    <row r="9" spans="2:3" ht="18">
      <c r="B9" s="4" t="s">
        <v>108</v>
      </c>
      <c r="C9" s="6">
        <f>1058</f>
        <v>1058</v>
      </c>
    </row>
    <row r="10" spans="2:3" ht="18">
      <c r="B10" s="4" t="s">
        <v>303</v>
      </c>
      <c r="C10" s="6">
        <f>2326</f>
        <v>2326</v>
      </c>
    </row>
    <row r="11" ht="18">
      <c r="B11" s="4"/>
    </row>
    <row r="12" spans="2:3" ht="18">
      <c r="B12" s="2" t="s">
        <v>63</v>
      </c>
      <c r="C12" s="6"/>
    </row>
    <row r="13" spans="2:3" ht="18">
      <c r="B13" s="2" t="s">
        <v>397</v>
      </c>
      <c r="C13" s="6">
        <f>1648</f>
        <v>1648</v>
      </c>
    </row>
    <row r="14" spans="2:3" ht="18">
      <c r="B14" s="2" t="s">
        <v>69</v>
      </c>
      <c r="C14" s="6"/>
    </row>
    <row r="15" spans="2:3" ht="18">
      <c r="B15" s="2" t="s">
        <v>67</v>
      </c>
      <c r="C15" s="6"/>
    </row>
    <row r="16" spans="2:3" ht="18">
      <c r="B16" s="2" t="s">
        <v>120</v>
      </c>
      <c r="C16" s="6">
        <f>4227</f>
        <v>4227</v>
      </c>
    </row>
    <row r="18" spans="2:3" ht="18">
      <c r="B18" s="2" t="s">
        <v>85</v>
      </c>
      <c r="C18" s="6"/>
    </row>
    <row r="19" spans="2:3" ht="18">
      <c r="B19" s="2" t="s">
        <v>86</v>
      </c>
      <c r="C19" s="6"/>
    </row>
    <row r="20" spans="2:3" ht="18">
      <c r="B20" s="2" t="s">
        <v>83</v>
      </c>
      <c r="C20" s="6"/>
    </row>
    <row r="21" spans="2:3" ht="18">
      <c r="B21" s="2" t="s">
        <v>84</v>
      </c>
      <c r="C21" s="6"/>
    </row>
    <row r="22" spans="2:3" ht="18">
      <c r="B22" s="2" t="s">
        <v>87</v>
      </c>
      <c r="C22" s="6"/>
    </row>
    <row r="23" spans="2:3" ht="18">
      <c r="B23" s="2" t="s">
        <v>88</v>
      </c>
      <c r="C23" s="6"/>
    </row>
    <row r="24" spans="2:3" ht="18">
      <c r="B24" s="2" t="s">
        <v>95</v>
      </c>
      <c r="C24" s="6"/>
    </row>
    <row r="25" spans="2:3" ht="18">
      <c r="B25" s="2" t="s">
        <v>89</v>
      </c>
      <c r="C25" s="6"/>
    </row>
    <row r="26" ht="18">
      <c r="C26" s="7">
        <f>SUM(C5:C25)</f>
        <v>11951</v>
      </c>
    </row>
    <row r="27" spans="1:4" ht="20.25">
      <c r="A27" s="1" t="s">
        <v>170</v>
      </c>
      <c r="B27" s="8" t="s">
        <v>18</v>
      </c>
      <c r="D27" s="7">
        <v>40538.9</v>
      </c>
    </row>
    <row r="28" spans="1:3" ht="18">
      <c r="A28" s="1" t="s">
        <v>173</v>
      </c>
      <c r="B28" s="4" t="s">
        <v>158</v>
      </c>
      <c r="C28" s="6"/>
    </row>
    <row r="29" spans="1:3" ht="18">
      <c r="A29" s="1" t="s">
        <v>174</v>
      </c>
      <c r="B29" s="4" t="s">
        <v>80</v>
      </c>
      <c r="C29" s="6"/>
    </row>
    <row r="30" spans="2:3" ht="18">
      <c r="B30" s="4" t="s">
        <v>164</v>
      </c>
      <c r="C30" s="6"/>
    </row>
    <row r="31" spans="2:3" ht="18">
      <c r="B31" s="4" t="s">
        <v>396</v>
      </c>
      <c r="C31" s="6">
        <f>118</f>
        <v>118</v>
      </c>
    </row>
    <row r="32" spans="2:3" ht="18">
      <c r="B32" s="4" t="s">
        <v>108</v>
      </c>
      <c r="C32" s="6"/>
    </row>
    <row r="33" spans="2:3" ht="18">
      <c r="B33" s="4" t="s">
        <v>135</v>
      </c>
      <c r="C33" s="6">
        <f>315</f>
        <v>315</v>
      </c>
    </row>
    <row r="34" spans="2:3" ht="18">
      <c r="B34" s="4" t="s">
        <v>303</v>
      </c>
      <c r="C34" s="6">
        <f>2326</f>
        <v>2326</v>
      </c>
    </row>
    <row r="35" ht="18">
      <c r="B35" s="4"/>
    </row>
    <row r="36" spans="2:3" ht="18">
      <c r="B36" s="2" t="s">
        <v>63</v>
      </c>
      <c r="C36" s="6"/>
    </row>
    <row r="37" spans="2:3" ht="18">
      <c r="B37" s="2" t="s">
        <v>64</v>
      </c>
      <c r="C37" s="6"/>
    </row>
    <row r="38" spans="2:3" ht="18">
      <c r="B38" s="2" t="s">
        <v>93</v>
      </c>
      <c r="C38" s="6">
        <f>1907</f>
        <v>1907</v>
      </c>
    </row>
    <row r="39" spans="2:3" ht="18">
      <c r="B39" s="2" t="s">
        <v>69</v>
      </c>
      <c r="C39" s="6"/>
    </row>
    <row r="40" spans="2:3" ht="18">
      <c r="B40" s="2" t="s">
        <v>120</v>
      </c>
      <c r="C40" s="6">
        <f>4407</f>
        <v>4407</v>
      </c>
    </row>
    <row r="42" spans="2:3" ht="18">
      <c r="B42" s="2" t="s">
        <v>85</v>
      </c>
      <c r="C42" s="6">
        <f>2563</f>
        <v>2563</v>
      </c>
    </row>
    <row r="43" spans="2:3" ht="18">
      <c r="B43" s="2" t="s">
        <v>86</v>
      </c>
      <c r="C43" s="6"/>
    </row>
    <row r="44" spans="2:3" ht="18">
      <c r="B44" s="2" t="s">
        <v>83</v>
      </c>
      <c r="C44" s="6">
        <f>29</f>
        <v>29</v>
      </c>
    </row>
    <row r="45" spans="2:3" ht="18">
      <c r="B45" s="2" t="s">
        <v>84</v>
      </c>
      <c r="C45" s="6"/>
    </row>
    <row r="46" spans="2:3" ht="18">
      <c r="B46" s="2" t="s">
        <v>87</v>
      </c>
      <c r="C46" s="6">
        <f>233</f>
        <v>233</v>
      </c>
    </row>
    <row r="47" spans="2:3" ht="18">
      <c r="B47" s="2" t="s">
        <v>88</v>
      </c>
      <c r="C47" s="6"/>
    </row>
    <row r="48" spans="2:3" ht="18">
      <c r="B48" s="2" t="s">
        <v>95</v>
      </c>
      <c r="C48" s="6"/>
    </row>
    <row r="49" spans="2:3" ht="18">
      <c r="B49" s="2" t="s">
        <v>89</v>
      </c>
      <c r="C49" s="6"/>
    </row>
    <row r="50" ht="18">
      <c r="C50" s="7">
        <f>SUM(C28:C49)</f>
        <v>11898</v>
      </c>
    </row>
    <row r="51" spans="1:4" ht="20.25">
      <c r="A51" s="1" t="s">
        <v>175</v>
      </c>
      <c r="B51" s="8" t="s">
        <v>19</v>
      </c>
      <c r="D51" s="7">
        <v>41060.5</v>
      </c>
    </row>
    <row r="52" spans="1:3" ht="18">
      <c r="A52" s="1" t="s">
        <v>176</v>
      </c>
      <c r="B52" s="4" t="s">
        <v>98</v>
      </c>
      <c r="C52" s="6"/>
    </row>
    <row r="53" spans="1:3" ht="18">
      <c r="A53" s="1" t="s">
        <v>177</v>
      </c>
      <c r="B53" s="4" t="s">
        <v>99</v>
      </c>
      <c r="C53" s="6"/>
    </row>
    <row r="54" spans="2:4" ht="18">
      <c r="B54" s="4" t="s">
        <v>396</v>
      </c>
      <c r="C54" s="6">
        <f>118</f>
        <v>118</v>
      </c>
      <c r="D54" s="4"/>
    </row>
    <row r="55" spans="2:3" ht="18">
      <c r="B55" s="4" t="s">
        <v>398</v>
      </c>
      <c r="C55" s="6"/>
    </row>
    <row r="56" spans="2:3" ht="18">
      <c r="B56" s="4" t="s">
        <v>152</v>
      </c>
      <c r="C56" s="6"/>
    </row>
    <row r="57" spans="2:3" ht="18">
      <c r="B57" s="4" t="s">
        <v>158</v>
      </c>
      <c r="C57" s="6"/>
    </row>
    <row r="58" spans="2:3" ht="18">
      <c r="B58" s="4" t="s">
        <v>303</v>
      </c>
      <c r="C58" s="6">
        <f>2326</f>
        <v>2326</v>
      </c>
    </row>
    <row r="59" ht="18">
      <c r="B59" s="4"/>
    </row>
    <row r="60" spans="2:3" ht="18">
      <c r="B60" s="2" t="s">
        <v>399</v>
      </c>
      <c r="C60" s="6">
        <f>1182+1182</f>
        <v>2364</v>
      </c>
    </row>
    <row r="61" spans="2:3" ht="18">
      <c r="B61" s="2" t="s">
        <v>400</v>
      </c>
      <c r="C61" s="6">
        <f>824</f>
        <v>824</v>
      </c>
    </row>
    <row r="62" spans="2:3" ht="18">
      <c r="B62" s="2" t="s">
        <v>65</v>
      </c>
      <c r="C62" s="6"/>
    </row>
    <row r="63" spans="2:3" ht="18">
      <c r="B63" s="2" t="s">
        <v>12</v>
      </c>
      <c r="C63" s="6">
        <f>1845</f>
        <v>1845</v>
      </c>
    </row>
    <row r="64" spans="2:3" ht="18">
      <c r="B64" s="2" t="s">
        <v>69</v>
      </c>
      <c r="C64" s="6"/>
    </row>
    <row r="65" spans="2:3" ht="18">
      <c r="B65" s="2" t="s">
        <v>120</v>
      </c>
      <c r="C65" s="6">
        <f>4362</f>
        <v>4362</v>
      </c>
    </row>
    <row r="67" spans="2:3" ht="18">
      <c r="B67" s="2" t="s">
        <v>85</v>
      </c>
      <c r="C67" s="6">
        <f>2563</f>
        <v>2563</v>
      </c>
    </row>
    <row r="68" spans="2:3" ht="18">
      <c r="B68" s="2" t="s">
        <v>86</v>
      </c>
      <c r="C68" s="6"/>
    </row>
    <row r="69" spans="2:3" ht="18">
      <c r="B69" s="2" t="s">
        <v>83</v>
      </c>
      <c r="C69" s="6">
        <f>19+38+29</f>
        <v>86</v>
      </c>
    </row>
    <row r="70" spans="2:3" ht="18">
      <c r="B70" s="2" t="s">
        <v>84</v>
      </c>
      <c r="C70" s="6">
        <f>1313+2282</f>
        <v>3595</v>
      </c>
    </row>
    <row r="71" spans="2:3" ht="18">
      <c r="B71" s="2" t="s">
        <v>87</v>
      </c>
      <c r="C71" s="6">
        <f>343+233+233+233</f>
        <v>1042</v>
      </c>
    </row>
    <row r="72" spans="1:3" ht="20.25">
      <c r="A72" s="8"/>
      <c r="B72" s="2" t="s">
        <v>88</v>
      </c>
      <c r="C72" s="6"/>
    </row>
    <row r="73" spans="2:3" ht="18">
      <c r="B73" s="2" t="s">
        <v>89</v>
      </c>
      <c r="C73" s="6"/>
    </row>
    <row r="74" spans="2:3" ht="18">
      <c r="B74" s="2" t="s">
        <v>95</v>
      </c>
      <c r="C74" s="6"/>
    </row>
    <row r="75" ht="18">
      <c r="C75" s="7">
        <f>SUM(C52:C74)</f>
        <v>19125</v>
      </c>
    </row>
    <row r="76" spans="1:4" ht="20.25">
      <c r="A76" s="1" t="s">
        <v>178</v>
      </c>
      <c r="B76" s="8" t="s">
        <v>31</v>
      </c>
      <c r="D76" s="7">
        <v>211154.9</v>
      </c>
    </row>
    <row r="77" spans="1:3" ht="18">
      <c r="A77" s="1" t="s">
        <v>179</v>
      </c>
      <c r="B77" s="4" t="s">
        <v>80</v>
      </c>
      <c r="C77" s="6"/>
    </row>
    <row r="78" spans="1:3" ht="18">
      <c r="A78" s="1" t="s">
        <v>180</v>
      </c>
      <c r="B78" s="4" t="s">
        <v>108</v>
      </c>
      <c r="C78" s="6"/>
    </row>
    <row r="79" spans="2:3" ht="18">
      <c r="B79" s="4" t="s">
        <v>164</v>
      </c>
      <c r="C79" s="6"/>
    </row>
    <row r="80" spans="2:3" ht="18">
      <c r="B80" s="4" t="s">
        <v>111</v>
      </c>
      <c r="C80" s="6"/>
    </row>
    <row r="81" spans="2:3" ht="18">
      <c r="B81" s="4" t="s">
        <v>396</v>
      </c>
      <c r="C81" s="6">
        <f>737</f>
        <v>737</v>
      </c>
    </row>
    <row r="82" spans="2:3" ht="18">
      <c r="B82" s="4" t="s">
        <v>135</v>
      </c>
      <c r="C82" s="6"/>
    </row>
    <row r="83" spans="2:3" ht="18">
      <c r="B83" s="4" t="s">
        <v>401</v>
      </c>
      <c r="C83" s="6">
        <f>15888</f>
        <v>15888</v>
      </c>
    </row>
    <row r="84" spans="2:3" ht="18">
      <c r="B84" s="4" t="s">
        <v>136</v>
      </c>
      <c r="C84" s="6"/>
    </row>
    <row r="85" spans="2:3" ht="18">
      <c r="B85" s="4" t="s">
        <v>147</v>
      </c>
      <c r="C85" s="6"/>
    </row>
    <row r="86" ht="18">
      <c r="B86" s="4"/>
    </row>
    <row r="87" spans="2:3" ht="18">
      <c r="B87" s="2" t="s">
        <v>402</v>
      </c>
      <c r="C87" s="6">
        <f>1014+2523+1182+1182</f>
        <v>5901</v>
      </c>
    </row>
    <row r="88" spans="2:3" ht="18">
      <c r="B88" s="2" t="s">
        <v>400</v>
      </c>
      <c r="C88" s="6">
        <f>3328</f>
        <v>3328</v>
      </c>
    </row>
    <row r="89" spans="2:3" ht="18">
      <c r="B89" s="2" t="s">
        <v>65</v>
      </c>
      <c r="C89" s="6"/>
    </row>
    <row r="90" spans="2:3" ht="18">
      <c r="B90" s="2" t="s">
        <v>69</v>
      </c>
      <c r="C90" s="6"/>
    </row>
    <row r="91" spans="2:3" ht="18">
      <c r="B91" s="2" t="s">
        <v>142</v>
      </c>
      <c r="C91" s="6"/>
    </row>
    <row r="92" spans="2:3" ht="18">
      <c r="B92" s="2" t="s">
        <v>12</v>
      </c>
      <c r="C92" s="6"/>
    </row>
    <row r="93" spans="2:3" ht="18">
      <c r="B93" s="2" t="s">
        <v>120</v>
      </c>
      <c r="C93" s="6">
        <f>29432</f>
        <v>29432</v>
      </c>
    </row>
    <row r="95" spans="2:3" ht="18">
      <c r="B95" s="2" t="s">
        <v>85</v>
      </c>
      <c r="C95" s="6">
        <f>2938+2563+2563</f>
        <v>8064</v>
      </c>
    </row>
    <row r="96" spans="2:3" ht="18">
      <c r="B96" s="2" t="s">
        <v>86</v>
      </c>
      <c r="C96" s="6"/>
    </row>
    <row r="97" spans="2:3" ht="18">
      <c r="B97" s="2" t="s">
        <v>83</v>
      </c>
      <c r="C97" s="6">
        <f>335+34+29+19+29</f>
        <v>446</v>
      </c>
    </row>
    <row r="98" spans="2:3" ht="18">
      <c r="B98" s="2" t="s">
        <v>84</v>
      </c>
      <c r="C98" s="6">
        <f>3865+1313</f>
        <v>5178</v>
      </c>
    </row>
    <row r="99" spans="2:3" ht="18">
      <c r="B99" s="2" t="s">
        <v>87</v>
      </c>
      <c r="C99" s="6">
        <f>965+818+364+187+187+420</f>
        <v>2941</v>
      </c>
    </row>
    <row r="100" spans="2:3" ht="18">
      <c r="B100" s="2" t="s">
        <v>95</v>
      </c>
      <c r="C100" s="6"/>
    </row>
    <row r="101" spans="2:3" ht="18">
      <c r="B101" s="2" t="s">
        <v>88</v>
      </c>
      <c r="C101" s="6">
        <f>1607+1010</f>
        <v>2617</v>
      </c>
    </row>
    <row r="102" spans="2:3" ht="18">
      <c r="B102" s="2" t="s">
        <v>89</v>
      </c>
      <c r="C102" s="6"/>
    </row>
    <row r="103" ht="18">
      <c r="C103" s="7">
        <f>SUM(C77:C102)</f>
        <v>74532</v>
      </c>
    </row>
    <row r="104" spans="1:4" ht="20.25">
      <c r="A104" s="1" t="s">
        <v>178</v>
      </c>
      <c r="B104" s="8" t="s">
        <v>20</v>
      </c>
      <c r="D104" s="7">
        <v>40618.4</v>
      </c>
    </row>
    <row r="105" spans="1:3" ht="18">
      <c r="A105" s="1" t="s">
        <v>181</v>
      </c>
      <c r="B105" s="4" t="s">
        <v>158</v>
      </c>
      <c r="C105" s="6"/>
    </row>
    <row r="106" spans="1:3" ht="18">
      <c r="A106" s="1" t="s">
        <v>182</v>
      </c>
      <c r="B106" s="4" t="s">
        <v>284</v>
      </c>
      <c r="C106" s="6"/>
    </row>
    <row r="107" spans="2:3" ht="18">
      <c r="B107" s="4" t="s">
        <v>396</v>
      </c>
      <c r="C107" s="6">
        <f>89</f>
        <v>89</v>
      </c>
    </row>
    <row r="108" spans="2:3" ht="18">
      <c r="B108" s="4" t="s">
        <v>80</v>
      </c>
      <c r="C108" s="6"/>
    </row>
    <row r="109" spans="2:3" ht="18">
      <c r="B109" s="4" t="s">
        <v>303</v>
      </c>
      <c r="C109" s="6">
        <f>2326</f>
        <v>2326</v>
      </c>
    </row>
    <row r="110" ht="18">
      <c r="B110" s="4"/>
    </row>
    <row r="111" spans="2:3" ht="18">
      <c r="B111" s="2" t="s">
        <v>66</v>
      </c>
      <c r="C111" s="6"/>
    </row>
    <row r="112" spans="2:3" ht="18">
      <c r="B112" s="2" t="s">
        <v>400</v>
      </c>
      <c r="C112" s="6">
        <f>807</f>
        <v>807</v>
      </c>
    </row>
    <row r="113" spans="2:3" ht="18">
      <c r="B113" s="2" t="s">
        <v>72</v>
      </c>
      <c r="C113" s="6"/>
    </row>
    <row r="114" spans="2:3" ht="18">
      <c r="B114" s="2" t="s">
        <v>142</v>
      </c>
      <c r="C114" s="6"/>
    </row>
    <row r="115" spans="2:3" ht="18">
      <c r="B115" s="2" t="s">
        <v>120</v>
      </c>
      <c r="C115" s="6">
        <f>6392</f>
        <v>6392</v>
      </c>
    </row>
    <row r="117" spans="2:3" ht="18">
      <c r="B117" s="2" t="s">
        <v>85</v>
      </c>
      <c r="C117" s="6">
        <f>2745</f>
        <v>2745</v>
      </c>
    </row>
    <row r="118" spans="2:3" ht="18">
      <c r="B118" s="2" t="s">
        <v>86</v>
      </c>
      <c r="C118" s="6"/>
    </row>
    <row r="119" spans="2:3" ht="18">
      <c r="B119" s="2" t="s">
        <v>83</v>
      </c>
      <c r="C119" s="6">
        <f>34+19</f>
        <v>53</v>
      </c>
    </row>
    <row r="120" spans="2:3" ht="18">
      <c r="B120" s="2" t="s">
        <v>84</v>
      </c>
      <c r="C120" s="6">
        <f>1141</f>
        <v>1141</v>
      </c>
    </row>
    <row r="121" spans="2:3" ht="18">
      <c r="B121" s="2" t="s">
        <v>87</v>
      </c>
      <c r="C121" s="6">
        <f>294</f>
        <v>294</v>
      </c>
    </row>
    <row r="122" spans="2:3" ht="18">
      <c r="B122" s="2" t="s">
        <v>88</v>
      </c>
      <c r="C122" s="6">
        <f>1010</f>
        <v>1010</v>
      </c>
    </row>
    <row r="123" spans="2:3" ht="18">
      <c r="B123" s="2" t="s">
        <v>95</v>
      </c>
      <c r="C123" s="6"/>
    </row>
    <row r="124" spans="2:3" ht="18">
      <c r="B124" s="2" t="s">
        <v>89</v>
      </c>
      <c r="C124" s="6"/>
    </row>
    <row r="125" ht="18">
      <c r="C125" s="7">
        <f>SUM(C105:C124)</f>
        <v>14857</v>
      </c>
    </row>
    <row r="126" spans="1:4" ht="20.25">
      <c r="A126" s="1" t="s">
        <v>183</v>
      </c>
      <c r="B126" s="8" t="s">
        <v>24</v>
      </c>
      <c r="D126" s="14">
        <v>214619</v>
      </c>
    </row>
    <row r="127" spans="1:3" ht="18">
      <c r="A127" s="1" t="s">
        <v>184</v>
      </c>
      <c r="B127" s="2" t="s">
        <v>167</v>
      </c>
      <c r="C127" s="6"/>
    </row>
    <row r="128" spans="1:3" ht="18">
      <c r="A128" s="1" t="s">
        <v>185</v>
      </c>
      <c r="B128" s="2" t="s">
        <v>158</v>
      </c>
      <c r="C128" s="6"/>
    </row>
    <row r="129" spans="2:3" ht="18">
      <c r="B129" s="2" t="s">
        <v>164</v>
      </c>
      <c r="C129" s="6"/>
    </row>
    <row r="130" spans="2:3" ht="18">
      <c r="B130" s="4" t="s">
        <v>98</v>
      </c>
      <c r="C130" s="6">
        <f>333+1450</f>
        <v>1783</v>
      </c>
    </row>
    <row r="131" spans="2:3" ht="18">
      <c r="B131" s="4" t="s">
        <v>403</v>
      </c>
      <c r="C131" s="6">
        <f>4061+20000</f>
        <v>24061</v>
      </c>
    </row>
    <row r="132" spans="2:3" ht="18">
      <c r="B132" s="4" t="s">
        <v>287</v>
      </c>
      <c r="C132" s="6"/>
    </row>
    <row r="133" spans="2:3" ht="18">
      <c r="B133" s="4" t="s">
        <v>135</v>
      </c>
      <c r="C133" s="6"/>
    </row>
    <row r="134" spans="2:3" ht="18">
      <c r="B134" s="4" t="s">
        <v>102</v>
      </c>
      <c r="C134" s="6"/>
    </row>
    <row r="135" spans="2:3" ht="18">
      <c r="B135" s="4" t="s">
        <v>147</v>
      </c>
      <c r="C135" s="6"/>
    </row>
    <row r="136" spans="2:3" ht="18">
      <c r="B136" s="4" t="s">
        <v>404</v>
      </c>
      <c r="C136" s="6">
        <f>147</f>
        <v>147</v>
      </c>
    </row>
    <row r="137" spans="2:3" ht="18">
      <c r="B137" s="4" t="s">
        <v>127</v>
      </c>
      <c r="C137" s="6"/>
    </row>
    <row r="139" spans="2:3" ht="18">
      <c r="B139" s="2" t="s">
        <v>405</v>
      </c>
      <c r="C139" s="6">
        <f>1866+1262</f>
        <v>3128</v>
      </c>
    </row>
    <row r="140" spans="2:3" ht="18">
      <c r="B140" s="2" t="s">
        <v>406</v>
      </c>
      <c r="C140" s="6">
        <f>807+1210</f>
        <v>2017</v>
      </c>
    </row>
    <row r="141" spans="2:3" ht="18">
      <c r="B141" s="2" t="s">
        <v>407</v>
      </c>
      <c r="C141" s="6">
        <f>35121+9368</f>
        <v>44489</v>
      </c>
    </row>
    <row r="142" spans="2:3" ht="18">
      <c r="B142" s="2" t="s">
        <v>72</v>
      </c>
      <c r="C142" s="6"/>
    </row>
    <row r="143" spans="2:3" ht="18">
      <c r="B143" s="2" t="s">
        <v>345</v>
      </c>
      <c r="C143" s="6"/>
    </row>
    <row r="144" spans="2:3" ht="18">
      <c r="B144" s="2" t="s">
        <v>93</v>
      </c>
      <c r="C144" s="6">
        <f>1489</f>
        <v>1489</v>
      </c>
    </row>
    <row r="145" spans="2:3" ht="18">
      <c r="B145" s="2" t="s">
        <v>297</v>
      </c>
      <c r="C145" s="6"/>
    </row>
    <row r="146" spans="2:3" ht="18">
      <c r="B146" s="2" t="s">
        <v>120</v>
      </c>
      <c r="C146" s="6">
        <f>17425</f>
        <v>17425</v>
      </c>
    </row>
    <row r="148" spans="2:3" ht="18">
      <c r="B148" s="2" t="s">
        <v>85</v>
      </c>
      <c r="C148" s="6">
        <f>1212+2563+2691</f>
        <v>6466</v>
      </c>
    </row>
    <row r="149" spans="2:3" ht="18">
      <c r="B149" s="2" t="s">
        <v>86</v>
      </c>
      <c r="C149" s="6"/>
    </row>
    <row r="150" spans="2:3" ht="18">
      <c r="B150" s="2" t="s">
        <v>83</v>
      </c>
      <c r="C150" s="6">
        <f>29+29</f>
        <v>58</v>
      </c>
    </row>
    <row r="151" spans="2:3" ht="18">
      <c r="B151" s="2" t="s">
        <v>84</v>
      </c>
      <c r="C151" s="6">
        <f>1288</f>
        <v>1288</v>
      </c>
    </row>
    <row r="152" spans="2:3" ht="18">
      <c r="B152" s="2" t="s">
        <v>87</v>
      </c>
      <c r="C152" s="6">
        <f>198+588+373+373</f>
        <v>1532</v>
      </c>
    </row>
    <row r="153" spans="2:3" ht="18">
      <c r="B153" s="2" t="s">
        <v>88</v>
      </c>
      <c r="C153" s="6">
        <f>1071+1071</f>
        <v>2142</v>
      </c>
    </row>
    <row r="154" spans="2:3" ht="18">
      <c r="B154" s="2" t="s">
        <v>89</v>
      </c>
      <c r="C154" s="6"/>
    </row>
    <row r="155" ht="18">
      <c r="C155" s="7">
        <f>SUM(C127:C153)</f>
        <v>106025</v>
      </c>
    </row>
    <row r="156" spans="1:4" ht="20.25">
      <c r="A156" s="1" t="s">
        <v>186</v>
      </c>
      <c r="B156" s="8" t="s">
        <v>25</v>
      </c>
      <c r="D156" s="7">
        <v>380788.2</v>
      </c>
    </row>
    <row r="157" spans="1:3" ht="18">
      <c r="A157" s="1" t="s">
        <v>187</v>
      </c>
      <c r="B157" s="4" t="s">
        <v>111</v>
      </c>
      <c r="C157" s="6"/>
    </row>
    <row r="158" spans="1:3" ht="18">
      <c r="A158" s="1" t="s">
        <v>188</v>
      </c>
      <c r="B158" s="4" t="s">
        <v>158</v>
      </c>
      <c r="C158" s="6"/>
    </row>
    <row r="159" spans="2:3" ht="18">
      <c r="B159" s="2" t="s">
        <v>346</v>
      </c>
      <c r="C159" s="6">
        <f>42896</f>
        <v>42896</v>
      </c>
    </row>
    <row r="160" spans="2:3" ht="18">
      <c r="B160" s="4" t="s">
        <v>98</v>
      </c>
      <c r="C160" s="6">
        <f>503+2823+2489+453</f>
        <v>6268</v>
      </c>
    </row>
    <row r="161" spans="2:3" ht="18">
      <c r="B161" s="4" t="s">
        <v>108</v>
      </c>
      <c r="C161" s="6">
        <f>2116</f>
        <v>2116</v>
      </c>
    </row>
    <row r="162" spans="2:3" ht="18">
      <c r="B162" s="4" t="s">
        <v>135</v>
      </c>
      <c r="C162" s="6"/>
    </row>
    <row r="163" spans="2:3" ht="18">
      <c r="B163" s="4" t="s">
        <v>352</v>
      </c>
      <c r="C163" s="6"/>
    </row>
    <row r="164" spans="2:3" ht="18">
      <c r="B164" s="4" t="s">
        <v>396</v>
      </c>
      <c r="C164" s="6">
        <f>207</f>
        <v>207</v>
      </c>
    </row>
    <row r="165" spans="2:3" ht="18">
      <c r="B165" s="4" t="s">
        <v>288</v>
      </c>
      <c r="C165" s="6"/>
    </row>
    <row r="166" spans="2:3" ht="18">
      <c r="B166" s="4" t="s">
        <v>310</v>
      </c>
      <c r="C166" s="6"/>
    </row>
    <row r="167" spans="2:3" ht="18">
      <c r="B167" s="4" t="s">
        <v>408</v>
      </c>
      <c r="C167" s="6"/>
    </row>
    <row r="168" spans="2:3" ht="18">
      <c r="B168" s="4" t="s">
        <v>409</v>
      </c>
      <c r="C168" s="6">
        <f>3320</f>
        <v>3320</v>
      </c>
    </row>
    <row r="169" spans="2:3" ht="18">
      <c r="B169" s="4" t="s">
        <v>125</v>
      </c>
      <c r="C169" s="6"/>
    </row>
    <row r="170" spans="2:3" ht="18">
      <c r="B170" s="4" t="s">
        <v>366</v>
      </c>
      <c r="C170" s="6"/>
    </row>
    <row r="171" spans="2:3" ht="18">
      <c r="B171" s="4" t="s">
        <v>152</v>
      </c>
      <c r="C171" s="6"/>
    </row>
    <row r="172" spans="2:3" ht="18">
      <c r="B172" s="4" t="s">
        <v>357</v>
      </c>
      <c r="C172" s="6"/>
    </row>
    <row r="173" spans="2:3" ht="18">
      <c r="B173" s="4" t="s">
        <v>316</v>
      </c>
      <c r="C173" s="6"/>
    </row>
    <row r="174" ht="20.25">
      <c r="B174" s="8"/>
    </row>
    <row r="175" spans="2:3" ht="18">
      <c r="B175" s="2" t="s">
        <v>410</v>
      </c>
      <c r="C175" s="6">
        <f>1244+2809+1182+4360</f>
        <v>9595</v>
      </c>
    </row>
    <row r="176" spans="2:3" ht="18">
      <c r="B176" s="2" t="s">
        <v>397</v>
      </c>
      <c r="C176" s="6">
        <f>745+1695</f>
        <v>2440</v>
      </c>
    </row>
    <row r="177" spans="2:3" ht="18">
      <c r="B177" s="2" t="s">
        <v>69</v>
      </c>
      <c r="C177" s="6"/>
    </row>
    <row r="178" spans="2:3" ht="18">
      <c r="B178" s="2" t="s">
        <v>411</v>
      </c>
      <c r="C178" s="6">
        <f>4404</f>
        <v>4404</v>
      </c>
    </row>
    <row r="179" spans="2:3" ht="18">
      <c r="B179" s="2" t="s">
        <v>412</v>
      </c>
      <c r="C179" s="6">
        <f>13594</f>
        <v>13594</v>
      </c>
    </row>
    <row r="180" spans="2:3" ht="18">
      <c r="B180" s="2" t="s">
        <v>118</v>
      </c>
      <c r="C180" s="6"/>
    </row>
    <row r="181" spans="2:3" ht="18">
      <c r="B181" s="2" t="s">
        <v>121</v>
      </c>
      <c r="C181" s="6"/>
    </row>
    <row r="182" spans="2:3" ht="18">
      <c r="B182" s="2" t="s">
        <v>104</v>
      </c>
      <c r="C182" s="6"/>
    </row>
    <row r="183" spans="2:3" ht="18">
      <c r="B183" s="2" t="s">
        <v>156</v>
      </c>
      <c r="C183" s="6">
        <f>2051</f>
        <v>2051</v>
      </c>
    </row>
    <row r="184" spans="2:3" ht="18">
      <c r="B184" s="2" t="s">
        <v>120</v>
      </c>
      <c r="C184" s="6">
        <f>35795</f>
        <v>35795</v>
      </c>
    </row>
    <row r="186" spans="2:3" ht="18">
      <c r="B186" s="2" t="s">
        <v>85</v>
      </c>
      <c r="C186" s="6">
        <f>5745+5490+2819+5382+5127</f>
        <v>24563</v>
      </c>
    </row>
    <row r="187" spans="2:3" ht="18">
      <c r="B187" s="2" t="s">
        <v>86</v>
      </c>
      <c r="C187" s="6"/>
    </row>
    <row r="188" spans="2:3" ht="18">
      <c r="B188" s="2" t="s">
        <v>83</v>
      </c>
      <c r="C188" s="6">
        <f>447+68+48+77+57</f>
        <v>697</v>
      </c>
    </row>
    <row r="189" spans="2:3" ht="18">
      <c r="B189" s="2" t="s">
        <v>84</v>
      </c>
      <c r="C189" s="6">
        <f>2577+1313+1141</f>
        <v>5031</v>
      </c>
    </row>
    <row r="190" spans="2:3" ht="18">
      <c r="B190" s="2" t="s">
        <v>87</v>
      </c>
      <c r="C190" s="6">
        <f>966+441+392+607+233+550+700</f>
        <v>3889</v>
      </c>
    </row>
    <row r="191" spans="2:3" ht="18">
      <c r="B191" s="2" t="s">
        <v>88</v>
      </c>
      <c r="C191" s="6">
        <f>535</f>
        <v>535</v>
      </c>
    </row>
    <row r="192" spans="2:3" ht="18">
      <c r="B192" s="2" t="s">
        <v>89</v>
      </c>
      <c r="C192" s="6"/>
    </row>
    <row r="193" ht="18">
      <c r="C193" s="7">
        <f>SUM(C157:C191)</f>
        <v>157401</v>
      </c>
    </row>
    <row r="194" spans="1:4" ht="20.25">
      <c r="A194" s="1" t="s">
        <v>189</v>
      </c>
      <c r="B194" s="8" t="s">
        <v>21</v>
      </c>
      <c r="D194" s="7">
        <v>40146.4</v>
      </c>
    </row>
    <row r="195" spans="1:3" ht="18">
      <c r="A195" s="1" t="s">
        <v>190</v>
      </c>
      <c r="B195" s="4" t="s">
        <v>158</v>
      </c>
      <c r="C195" s="6"/>
    </row>
    <row r="196" spans="1:3" ht="18">
      <c r="A196" s="1" t="s">
        <v>191</v>
      </c>
      <c r="B196" s="4" t="s">
        <v>98</v>
      </c>
      <c r="C196" s="6">
        <f>1316</f>
        <v>1316</v>
      </c>
    </row>
    <row r="197" spans="1:3" ht="18">
      <c r="A197" s="2"/>
      <c r="B197" s="4" t="s">
        <v>303</v>
      </c>
      <c r="C197" s="6">
        <v>2326</v>
      </c>
    </row>
    <row r="198" ht="18">
      <c r="B198" s="4"/>
    </row>
    <row r="199" spans="2:3" ht="18">
      <c r="B199" s="2" t="s">
        <v>388</v>
      </c>
      <c r="C199" s="6">
        <f>622</f>
        <v>622</v>
      </c>
    </row>
    <row r="200" spans="2:3" ht="18">
      <c r="B200" s="2" t="s">
        <v>64</v>
      </c>
      <c r="C200" s="6"/>
    </row>
    <row r="201" spans="2:3" ht="18">
      <c r="B201" s="2" t="s">
        <v>69</v>
      </c>
      <c r="C201" s="6"/>
    </row>
    <row r="202" spans="2:3" ht="18">
      <c r="B202" s="2" t="s">
        <v>93</v>
      </c>
      <c r="C202" s="6"/>
    </row>
    <row r="203" spans="2:3" ht="18">
      <c r="B203" s="2" t="s">
        <v>72</v>
      </c>
      <c r="C203" s="6"/>
    </row>
    <row r="204" spans="2:3" ht="18">
      <c r="B204" s="2" t="s">
        <v>120</v>
      </c>
      <c r="C204" s="6"/>
    </row>
    <row r="206" spans="2:3" ht="18">
      <c r="B206" s="2" t="s">
        <v>85</v>
      </c>
      <c r="C206" s="6"/>
    </row>
    <row r="207" spans="2:3" ht="18">
      <c r="B207" s="2" t="s">
        <v>86</v>
      </c>
      <c r="C207" s="6"/>
    </row>
    <row r="208" spans="2:3" ht="18">
      <c r="B208" s="2" t="s">
        <v>83</v>
      </c>
      <c r="C208" s="6"/>
    </row>
    <row r="209" spans="2:3" ht="18">
      <c r="B209" s="2" t="s">
        <v>84</v>
      </c>
      <c r="C209" s="6"/>
    </row>
    <row r="210" spans="2:3" ht="18">
      <c r="B210" s="2" t="s">
        <v>87</v>
      </c>
      <c r="C210" s="6"/>
    </row>
    <row r="211" spans="2:3" ht="18">
      <c r="B211" s="2" t="s">
        <v>88</v>
      </c>
      <c r="C211" s="6"/>
    </row>
    <row r="212" spans="2:3" ht="18">
      <c r="B212" s="2" t="s">
        <v>89</v>
      </c>
      <c r="C212" s="6"/>
    </row>
    <row r="213" ht="18">
      <c r="C213" s="7">
        <f>SUM(C195:C204)</f>
        <v>4264</v>
      </c>
    </row>
    <row r="214" spans="1:4" ht="20.25">
      <c r="A214" s="1" t="s">
        <v>192</v>
      </c>
      <c r="B214" s="8" t="s">
        <v>22</v>
      </c>
      <c r="D214" s="7">
        <v>39257.1</v>
      </c>
    </row>
    <row r="215" spans="1:3" ht="18">
      <c r="A215" s="1" t="s">
        <v>193</v>
      </c>
      <c r="B215" s="4" t="s">
        <v>98</v>
      </c>
      <c r="C215" s="6"/>
    </row>
    <row r="216" spans="1:3" ht="18">
      <c r="A216" s="1" t="s">
        <v>194</v>
      </c>
      <c r="B216" s="4" t="s">
        <v>164</v>
      </c>
      <c r="C216" s="6"/>
    </row>
    <row r="217" spans="2:3" ht="18">
      <c r="B217" s="4" t="s">
        <v>97</v>
      </c>
      <c r="C217" s="6" t="s">
        <v>413</v>
      </c>
    </row>
    <row r="218" spans="2:3" ht="18">
      <c r="B218" s="4" t="s">
        <v>158</v>
      </c>
      <c r="C218" s="6"/>
    </row>
    <row r="219" spans="2:3" ht="18">
      <c r="B219" s="4" t="s">
        <v>327</v>
      </c>
      <c r="C219" s="6"/>
    </row>
    <row r="220" spans="2:3" ht="18">
      <c r="B220" s="4" t="s">
        <v>303</v>
      </c>
      <c r="C220" s="6">
        <f>3489</f>
        <v>3489</v>
      </c>
    </row>
    <row r="221" ht="18">
      <c r="B221" s="4"/>
    </row>
    <row r="222" spans="2:3" ht="18">
      <c r="B222" s="2" t="s">
        <v>414</v>
      </c>
      <c r="C222" s="6">
        <f>1244+12923</f>
        <v>14167</v>
      </c>
    </row>
    <row r="223" spans="2:3" ht="18">
      <c r="B223" s="2" t="s">
        <v>64</v>
      </c>
      <c r="C223" s="6"/>
    </row>
    <row r="224" spans="2:3" ht="18">
      <c r="B224" s="2" t="s">
        <v>142</v>
      </c>
      <c r="C224" s="6"/>
    </row>
    <row r="225" spans="2:3" ht="18">
      <c r="B225" s="2" t="s">
        <v>415</v>
      </c>
      <c r="C225" s="6">
        <f>6031</f>
        <v>6031</v>
      </c>
    </row>
    <row r="226" spans="2:4" ht="18">
      <c r="B226" s="2" t="s">
        <v>416</v>
      </c>
      <c r="C226" s="6">
        <f>2742+6877+2070</f>
        <v>11689</v>
      </c>
      <c r="D226" s="3" t="s">
        <v>417</v>
      </c>
    </row>
    <row r="227" spans="2:3" ht="18">
      <c r="B227" s="2" t="s">
        <v>418</v>
      </c>
      <c r="C227" s="6">
        <f>5037</f>
        <v>5037</v>
      </c>
    </row>
    <row r="228" spans="2:3" ht="18">
      <c r="B228" s="2" t="s">
        <v>120</v>
      </c>
      <c r="C228" s="6">
        <f>6283</f>
        <v>6283</v>
      </c>
    </row>
    <row r="229" ht="20.25">
      <c r="B229" s="8"/>
    </row>
    <row r="230" spans="2:3" ht="18">
      <c r="B230" s="2" t="s">
        <v>85</v>
      </c>
      <c r="C230" s="6"/>
    </row>
    <row r="231" spans="2:3" ht="18">
      <c r="B231" s="2" t="s">
        <v>86</v>
      </c>
      <c r="C231" s="6"/>
    </row>
    <row r="232" spans="2:3" ht="18">
      <c r="B232" s="2" t="s">
        <v>83</v>
      </c>
      <c r="C232" s="6"/>
    </row>
    <row r="233" spans="2:3" ht="18">
      <c r="B233" s="2" t="s">
        <v>84</v>
      </c>
      <c r="C233" s="6"/>
    </row>
    <row r="234" spans="2:3" ht="18">
      <c r="B234" s="2" t="s">
        <v>87</v>
      </c>
      <c r="C234" s="6">
        <f>343</f>
        <v>343</v>
      </c>
    </row>
    <row r="235" spans="2:3" ht="18">
      <c r="B235" s="2" t="s">
        <v>88</v>
      </c>
      <c r="C235" s="6"/>
    </row>
    <row r="236" spans="2:3" ht="18">
      <c r="B236" s="2" t="s">
        <v>89</v>
      </c>
      <c r="C236" s="6"/>
    </row>
    <row r="237" ht="18">
      <c r="C237" s="7">
        <f>SUM(C217:C235)</f>
        <v>47039</v>
      </c>
    </row>
    <row r="238" spans="1:4" ht="20.25">
      <c r="A238" s="1" t="s">
        <v>195</v>
      </c>
      <c r="B238" s="8" t="s">
        <v>32</v>
      </c>
      <c r="D238" s="7">
        <v>380694.6</v>
      </c>
    </row>
    <row r="239" spans="1:3" ht="18">
      <c r="A239" s="1" t="s">
        <v>196</v>
      </c>
      <c r="B239" s="2" t="s">
        <v>159</v>
      </c>
      <c r="C239" s="6"/>
    </row>
    <row r="240" spans="1:3" ht="18">
      <c r="A240" s="1" t="s">
        <v>197</v>
      </c>
      <c r="B240" s="2" t="s">
        <v>419</v>
      </c>
      <c r="C240" s="6">
        <f>2287</f>
        <v>2287</v>
      </c>
    </row>
    <row r="241" spans="2:3" ht="18">
      <c r="B241" s="2" t="s">
        <v>80</v>
      </c>
      <c r="C241" s="6">
        <f>1412</f>
        <v>1412</v>
      </c>
    </row>
    <row r="242" spans="2:3" ht="18">
      <c r="B242" s="2" t="s">
        <v>311</v>
      </c>
      <c r="C242" s="6"/>
    </row>
    <row r="243" spans="2:3" ht="18">
      <c r="B243" s="2" t="s">
        <v>312</v>
      </c>
      <c r="C243" s="6"/>
    </row>
    <row r="244" spans="2:3" ht="18">
      <c r="B244" s="2" t="s">
        <v>158</v>
      </c>
      <c r="C244" s="6"/>
    </row>
    <row r="245" spans="2:3" ht="18">
      <c r="B245" s="2" t="s">
        <v>111</v>
      </c>
      <c r="C245" s="6"/>
    </row>
    <row r="246" spans="2:3" ht="18">
      <c r="B246" s="4" t="s">
        <v>420</v>
      </c>
      <c r="C246" s="12">
        <f>21250</f>
        <v>21250</v>
      </c>
    </row>
    <row r="247" spans="2:3" ht="18">
      <c r="B247" s="2" t="s">
        <v>349</v>
      </c>
      <c r="C247" s="6"/>
    </row>
    <row r="248" spans="2:3" ht="18">
      <c r="B248" s="2" t="s">
        <v>366</v>
      </c>
      <c r="C248" s="6"/>
    </row>
    <row r="249" spans="2:3" ht="18">
      <c r="B249" s="2" t="s">
        <v>147</v>
      </c>
      <c r="C249" s="6"/>
    </row>
    <row r="250" spans="2:3" ht="18">
      <c r="B250" s="2" t="s">
        <v>384</v>
      </c>
      <c r="C250" s="6">
        <f>1087</f>
        <v>1087</v>
      </c>
    </row>
    <row r="251" spans="2:3" ht="18">
      <c r="B251" s="2" t="s">
        <v>421</v>
      </c>
      <c r="C251" s="6">
        <f>85790</f>
        <v>85790</v>
      </c>
    </row>
    <row r="253" spans="2:3" ht="18">
      <c r="B253" s="2" t="s">
        <v>422</v>
      </c>
      <c r="C253" s="6">
        <f>1867+6763+1182+6188</f>
        <v>16000</v>
      </c>
    </row>
    <row r="254" spans="2:3" ht="18">
      <c r="B254" s="2" t="s">
        <v>423</v>
      </c>
      <c r="C254" s="6">
        <f>1210+1117</f>
        <v>2327</v>
      </c>
    </row>
    <row r="255" spans="2:3" ht="18">
      <c r="B255" s="2" t="s">
        <v>12</v>
      </c>
      <c r="C255" s="6">
        <f>1725</f>
        <v>1725</v>
      </c>
    </row>
    <row r="256" spans="2:3" ht="18">
      <c r="B256" s="2" t="s">
        <v>91</v>
      </c>
      <c r="C256" s="6"/>
    </row>
    <row r="257" spans="2:3" ht="18">
      <c r="B257" s="2" t="s">
        <v>424</v>
      </c>
      <c r="C257" s="6">
        <f>3705+2597</f>
        <v>6302</v>
      </c>
    </row>
    <row r="258" spans="2:3" ht="18">
      <c r="B258" s="2" t="s">
        <v>386</v>
      </c>
      <c r="C258" s="6">
        <f>1085+3911</f>
        <v>4996</v>
      </c>
    </row>
    <row r="259" spans="2:3" ht="18">
      <c r="B259" s="2" t="s">
        <v>425</v>
      </c>
      <c r="C259" s="6">
        <f>10596+10588</f>
        <v>21184</v>
      </c>
    </row>
    <row r="260" spans="2:3" ht="18">
      <c r="B260" s="2" t="s">
        <v>393</v>
      </c>
      <c r="C260" s="6"/>
    </row>
    <row r="261" spans="2:3" ht="18">
      <c r="B261" s="2" t="s">
        <v>120</v>
      </c>
      <c r="C261" s="6">
        <f>34977</f>
        <v>34977</v>
      </c>
    </row>
    <row r="263" spans="2:3" ht="18">
      <c r="B263" s="2" t="s">
        <v>85</v>
      </c>
      <c r="C263" s="6">
        <f>3031+2436+101033</f>
        <v>106500</v>
      </c>
    </row>
    <row r="264" spans="2:3" ht="18">
      <c r="B264" s="2" t="s">
        <v>86</v>
      </c>
      <c r="C264" s="6">
        <f>3139</f>
        <v>3139</v>
      </c>
    </row>
    <row r="265" spans="2:3" ht="18">
      <c r="B265" s="2" t="s">
        <v>83</v>
      </c>
      <c r="C265" s="6">
        <f>19+48+124+3446</f>
        <v>3637</v>
      </c>
    </row>
    <row r="266" spans="2:3" ht="18">
      <c r="B266" s="2" t="s">
        <v>84</v>
      </c>
      <c r="C266" s="6">
        <f>1313+1141+4473</f>
        <v>6927</v>
      </c>
    </row>
    <row r="267" spans="2:3" ht="18">
      <c r="B267" s="2" t="s">
        <v>87</v>
      </c>
      <c r="C267" s="6">
        <f>588+392+598</f>
        <v>1578</v>
      </c>
    </row>
    <row r="268" spans="2:3" ht="18">
      <c r="B268" s="2" t="s">
        <v>88</v>
      </c>
      <c r="C268" s="6">
        <f>535+1010</f>
        <v>1545</v>
      </c>
    </row>
    <row r="269" spans="2:3" ht="18">
      <c r="B269" s="2" t="s">
        <v>95</v>
      </c>
      <c r="C269" s="6"/>
    </row>
    <row r="270" spans="2:3" ht="18">
      <c r="B270" s="2" t="s">
        <v>89</v>
      </c>
      <c r="C270" s="6"/>
    </row>
    <row r="271" ht="18">
      <c r="C271" s="7">
        <f>SUM(C239:C269)</f>
        <v>322663</v>
      </c>
    </row>
    <row r="272" spans="1:4" ht="20.25">
      <c r="A272" s="1" t="s">
        <v>195</v>
      </c>
      <c r="B272" s="8" t="s">
        <v>11</v>
      </c>
      <c r="D272" s="7">
        <v>343816.2</v>
      </c>
    </row>
    <row r="273" spans="1:3" ht="18">
      <c r="A273" s="1" t="s">
        <v>198</v>
      </c>
      <c r="B273" s="2" t="s">
        <v>426</v>
      </c>
      <c r="C273" s="6">
        <f>725+2031+10000</f>
        <v>12756</v>
      </c>
    </row>
    <row r="274" spans="1:3" ht="18">
      <c r="A274" s="1" t="s">
        <v>199</v>
      </c>
      <c r="B274" s="2" t="s">
        <v>147</v>
      </c>
      <c r="C274" s="6"/>
    </row>
    <row r="275" spans="2:3" ht="18">
      <c r="B275" s="2" t="s">
        <v>164</v>
      </c>
      <c r="C275" s="6"/>
    </row>
    <row r="276" spans="2:3" ht="18">
      <c r="B276" s="2" t="s">
        <v>123</v>
      </c>
      <c r="C276" s="6"/>
    </row>
    <row r="277" spans="2:3" ht="18">
      <c r="B277" s="2" t="s">
        <v>117</v>
      </c>
      <c r="C277" s="6">
        <f>2116</f>
        <v>2116</v>
      </c>
    </row>
    <row r="278" spans="2:3" ht="18">
      <c r="B278" s="2" t="s">
        <v>114</v>
      </c>
      <c r="C278" s="6"/>
    </row>
    <row r="279" spans="2:3" ht="18">
      <c r="B279" s="4" t="s">
        <v>129</v>
      </c>
      <c r="C279" s="6">
        <f>2466</f>
        <v>2466</v>
      </c>
    </row>
    <row r="280" spans="2:3" ht="18">
      <c r="B280" s="2" t="s">
        <v>135</v>
      </c>
      <c r="C280" s="6"/>
    </row>
    <row r="281" spans="2:3" ht="18">
      <c r="B281" s="2" t="s">
        <v>153</v>
      </c>
      <c r="C281" s="6"/>
    </row>
    <row r="282" spans="2:3" ht="18">
      <c r="B282" s="2" t="s">
        <v>80</v>
      </c>
      <c r="C282" s="6">
        <f>9256+-2823+2489+453</f>
        <v>9375</v>
      </c>
    </row>
    <row r="283" spans="2:3" ht="18">
      <c r="B283" s="2" t="s">
        <v>427</v>
      </c>
      <c r="C283" s="6"/>
    </row>
    <row r="285" spans="2:3" ht="18">
      <c r="B285" s="2" t="s">
        <v>428</v>
      </c>
      <c r="C285" s="6">
        <f>1244+1031</f>
        <v>2275</v>
      </c>
    </row>
    <row r="286" spans="2:3" ht="18">
      <c r="B286" s="2" t="s">
        <v>400</v>
      </c>
      <c r="C286" s="6">
        <f>824</f>
        <v>824</v>
      </c>
    </row>
    <row r="287" spans="2:3" ht="18">
      <c r="B287" s="2" t="s">
        <v>429</v>
      </c>
      <c r="C287" s="6">
        <f>6564+2170+1054+2594</f>
        <v>12382</v>
      </c>
    </row>
    <row r="288" spans="2:3" ht="18">
      <c r="B288" s="2" t="s">
        <v>12</v>
      </c>
      <c r="C288" s="6"/>
    </row>
    <row r="289" spans="2:3" ht="18">
      <c r="B289" s="2" t="s">
        <v>430</v>
      </c>
      <c r="C289" s="6">
        <f>1852+543+6804</f>
        <v>9199</v>
      </c>
    </row>
    <row r="290" spans="2:3" ht="18">
      <c r="B290" s="2" t="s">
        <v>302</v>
      </c>
      <c r="C290" s="6"/>
    </row>
    <row r="291" spans="2:3" ht="18">
      <c r="B291" s="2" t="s">
        <v>93</v>
      </c>
      <c r="C291" s="6"/>
    </row>
    <row r="292" spans="2:3" ht="18">
      <c r="B292" s="2" t="s">
        <v>298</v>
      </c>
      <c r="C292" s="6"/>
    </row>
    <row r="293" spans="2:3" ht="18">
      <c r="B293" s="2" t="s">
        <v>120</v>
      </c>
      <c r="C293" s="6">
        <f>34897</f>
        <v>34897</v>
      </c>
    </row>
    <row r="295" spans="2:3" ht="18">
      <c r="B295" s="2" t="s">
        <v>85</v>
      </c>
      <c r="C295" s="6">
        <f>5490+2745+2563+2819+5255</f>
        <v>18872</v>
      </c>
    </row>
    <row r="296" spans="2:3" ht="18">
      <c r="B296" s="2" t="s">
        <v>86</v>
      </c>
      <c r="C296" s="6"/>
    </row>
    <row r="297" spans="2:3" ht="18">
      <c r="B297" s="2" t="s">
        <v>83</v>
      </c>
      <c r="C297" s="6">
        <f>335+34+29+48+57</f>
        <v>503</v>
      </c>
    </row>
    <row r="298" spans="2:3" ht="18">
      <c r="B298" s="2" t="s">
        <v>84</v>
      </c>
      <c r="C298" s="6">
        <f>1313</f>
        <v>1313</v>
      </c>
    </row>
    <row r="299" spans="2:3" ht="18">
      <c r="B299" s="2" t="s">
        <v>87</v>
      </c>
      <c r="C299" s="6">
        <f>196+588+756+560+960+232+653</f>
        <v>3945</v>
      </c>
    </row>
    <row r="300" spans="2:3" ht="18">
      <c r="B300" s="2" t="s">
        <v>88</v>
      </c>
      <c r="C300" s="6">
        <f>535</f>
        <v>535</v>
      </c>
    </row>
    <row r="301" spans="2:3" ht="18">
      <c r="B301" s="2" t="s">
        <v>89</v>
      </c>
      <c r="C301" s="6"/>
    </row>
    <row r="302" ht="18">
      <c r="C302" s="7">
        <f>SUM(C273:C300)</f>
        <v>111458</v>
      </c>
    </row>
    <row r="303" spans="1:4" ht="20.25">
      <c r="A303" s="1" t="s">
        <v>200</v>
      </c>
      <c r="B303" s="8" t="s">
        <v>33</v>
      </c>
      <c r="D303" s="7">
        <v>171837.9</v>
      </c>
    </row>
    <row r="304" spans="1:3" ht="18">
      <c r="A304" s="1" t="s">
        <v>201</v>
      </c>
      <c r="B304" s="4" t="s">
        <v>98</v>
      </c>
      <c r="C304" s="6"/>
    </row>
    <row r="305" spans="1:3" ht="18">
      <c r="A305" s="1" t="s">
        <v>202</v>
      </c>
      <c r="B305" s="4" t="s">
        <v>99</v>
      </c>
      <c r="C305" s="6"/>
    </row>
    <row r="306" spans="2:3" ht="18">
      <c r="B306" s="4" t="s">
        <v>158</v>
      </c>
      <c r="C306" s="6"/>
    </row>
    <row r="307" spans="2:3" ht="18">
      <c r="B307" s="4" t="s">
        <v>282</v>
      </c>
      <c r="C307" s="6"/>
    </row>
    <row r="308" spans="2:3" ht="18">
      <c r="B308" s="4" t="s">
        <v>145</v>
      </c>
      <c r="C308" s="6"/>
    </row>
    <row r="309" spans="2:3" ht="18">
      <c r="B309" s="4" t="s">
        <v>138</v>
      </c>
      <c r="C309" s="6"/>
    </row>
    <row r="310" spans="2:3" ht="18">
      <c r="B310" s="4" t="s">
        <v>119</v>
      </c>
      <c r="C310" s="6">
        <f>123915</f>
        <v>123915</v>
      </c>
    </row>
    <row r="311" spans="2:3" ht="18">
      <c r="B311" s="4" t="s">
        <v>336</v>
      </c>
      <c r="C311" s="6"/>
    </row>
    <row r="312" spans="2:3" ht="18">
      <c r="B312" s="4" t="s">
        <v>117</v>
      </c>
      <c r="C312" s="6"/>
    </row>
    <row r="313" ht="20.25">
      <c r="B313" s="8"/>
    </row>
    <row r="314" spans="2:3" ht="18">
      <c r="B314" s="4" t="s">
        <v>66</v>
      </c>
      <c r="C314" s="6"/>
    </row>
    <row r="315" spans="2:3" ht="18">
      <c r="B315" s="2" t="s">
        <v>400</v>
      </c>
      <c r="C315" s="6">
        <f>807</f>
        <v>807</v>
      </c>
    </row>
    <row r="316" spans="2:3" ht="18">
      <c r="B316" s="2" t="s">
        <v>431</v>
      </c>
      <c r="C316" s="6">
        <f>3202+6827</f>
        <v>10029</v>
      </c>
    </row>
    <row r="317" spans="2:3" ht="18">
      <c r="B317" s="2" t="s">
        <v>292</v>
      </c>
      <c r="C317" s="6"/>
    </row>
    <row r="318" spans="2:3" ht="18">
      <c r="B318" s="2" t="s">
        <v>12</v>
      </c>
      <c r="C318" s="6">
        <f>7762</f>
        <v>7762</v>
      </c>
    </row>
    <row r="319" spans="2:3" ht="18">
      <c r="B319" s="2" t="s">
        <v>91</v>
      </c>
      <c r="C319" s="6"/>
    </row>
    <row r="320" spans="2:3" ht="18">
      <c r="B320" s="2" t="s">
        <v>142</v>
      </c>
      <c r="C320" s="6"/>
    </row>
    <row r="321" spans="2:3" ht="18">
      <c r="B321" s="2" t="s">
        <v>120</v>
      </c>
      <c r="C321" s="6">
        <v>16688</v>
      </c>
    </row>
    <row r="323" spans="2:3" ht="18">
      <c r="B323" s="2" t="s">
        <v>85</v>
      </c>
      <c r="C323" s="6">
        <f>2554+2563</f>
        <v>5117</v>
      </c>
    </row>
    <row r="324" spans="2:3" ht="18">
      <c r="B324" s="2" t="s">
        <v>86</v>
      </c>
      <c r="C324" s="6"/>
    </row>
    <row r="325" spans="2:3" ht="18">
      <c r="B325" s="2" t="s">
        <v>83</v>
      </c>
      <c r="C325" s="6">
        <f>29</f>
        <v>29</v>
      </c>
    </row>
    <row r="326" spans="2:3" ht="18">
      <c r="B326" s="2" t="s">
        <v>84</v>
      </c>
      <c r="C326" s="6"/>
    </row>
    <row r="327" spans="2:3" ht="18">
      <c r="B327" s="2" t="s">
        <v>87</v>
      </c>
      <c r="C327" s="6">
        <f>98+283+2543</f>
        <v>2924</v>
      </c>
    </row>
    <row r="328" spans="2:3" ht="18">
      <c r="B328" s="2" t="s">
        <v>88</v>
      </c>
      <c r="C328" s="6"/>
    </row>
    <row r="329" spans="2:3" ht="18">
      <c r="B329" s="2" t="s">
        <v>95</v>
      </c>
      <c r="C329" s="6"/>
    </row>
    <row r="330" spans="2:3" ht="18">
      <c r="B330" s="2" t="s">
        <v>89</v>
      </c>
      <c r="C330" s="6"/>
    </row>
    <row r="331" ht="18">
      <c r="C331" s="7">
        <f>SUM(C304:C330)</f>
        <v>167271</v>
      </c>
    </row>
    <row r="332" spans="1:4" ht="20.25">
      <c r="A332" s="1" t="s">
        <v>192</v>
      </c>
      <c r="B332" s="8" t="s">
        <v>34</v>
      </c>
      <c r="D332" s="7">
        <v>134041.1</v>
      </c>
    </row>
    <row r="333" spans="1:3" ht="18">
      <c r="A333" s="1" t="s">
        <v>203</v>
      </c>
      <c r="B333" s="4" t="s">
        <v>98</v>
      </c>
      <c r="C333" s="6"/>
    </row>
    <row r="334" spans="1:3" ht="18">
      <c r="A334" s="1" t="s">
        <v>204</v>
      </c>
      <c r="B334" s="2" t="s">
        <v>317</v>
      </c>
      <c r="C334" s="6"/>
    </row>
    <row r="335" spans="2:3" ht="18">
      <c r="B335" s="4" t="s">
        <v>158</v>
      </c>
      <c r="C335" s="6"/>
    </row>
    <row r="336" spans="2:3" ht="18">
      <c r="B336" s="2" t="s">
        <v>318</v>
      </c>
      <c r="C336" s="6"/>
    </row>
    <row r="337" spans="2:3" ht="18">
      <c r="B337" s="2" t="s">
        <v>432</v>
      </c>
      <c r="C337" s="6">
        <f>1490</f>
        <v>1490</v>
      </c>
    </row>
    <row r="338" spans="2:3" ht="18">
      <c r="B338" s="2" t="s">
        <v>122</v>
      </c>
      <c r="C338" s="6"/>
    </row>
    <row r="339" spans="2:3" ht="18">
      <c r="B339" s="2" t="s">
        <v>296</v>
      </c>
      <c r="C339" s="6"/>
    </row>
    <row r="340" spans="2:3" ht="18">
      <c r="B340" s="4" t="s">
        <v>145</v>
      </c>
      <c r="C340" s="6"/>
    </row>
    <row r="341" spans="2:3" ht="18">
      <c r="B341" s="4" t="s">
        <v>138</v>
      </c>
      <c r="C341" s="6"/>
    </row>
    <row r="343" spans="2:3" ht="18">
      <c r="B343" s="2" t="s">
        <v>66</v>
      </c>
      <c r="C343" s="6"/>
    </row>
    <row r="344" spans="2:3" ht="18">
      <c r="B344" s="2" t="s">
        <v>406</v>
      </c>
      <c r="C344" s="6">
        <f>1029</f>
        <v>1029</v>
      </c>
    </row>
    <row r="345" spans="2:3" ht="18">
      <c r="B345" s="2" t="s">
        <v>126</v>
      </c>
      <c r="C345" s="6"/>
    </row>
    <row r="346" spans="2:3" ht="18">
      <c r="B346" s="2" t="s">
        <v>69</v>
      </c>
      <c r="C346" s="6"/>
    </row>
    <row r="347" spans="2:3" ht="18">
      <c r="B347" s="2" t="s">
        <v>120</v>
      </c>
      <c r="C347" s="6">
        <f>13607</f>
        <v>13607</v>
      </c>
    </row>
    <row r="349" spans="2:3" ht="18">
      <c r="B349" s="2" t="s">
        <v>85</v>
      </c>
      <c r="C349" s="6"/>
    </row>
    <row r="350" spans="2:3" ht="18">
      <c r="B350" s="2" t="s">
        <v>86</v>
      </c>
      <c r="C350" s="6"/>
    </row>
    <row r="351" spans="2:3" ht="18">
      <c r="B351" s="2" t="s">
        <v>83</v>
      </c>
      <c r="C351" s="6">
        <f>19</f>
        <v>19</v>
      </c>
    </row>
    <row r="352" spans="2:3" ht="18">
      <c r="B352" s="2" t="s">
        <v>84</v>
      </c>
      <c r="C352" s="6">
        <f>1313</f>
        <v>1313</v>
      </c>
    </row>
    <row r="353" spans="2:3" ht="18">
      <c r="B353" s="2" t="s">
        <v>87</v>
      </c>
      <c r="C353" s="6">
        <f>92+140+288+140+288</f>
        <v>948</v>
      </c>
    </row>
    <row r="354" spans="2:3" ht="18">
      <c r="B354" s="2" t="s">
        <v>88</v>
      </c>
      <c r="C354" s="6"/>
    </row>
    <row r="355" spans="2:3" ht="18">
      <c r="B355" s="2" t="s">
        <v>89</v>
      </c>
      <c r="C355" s="6"/>
    </row>
    <row r="356" ht="18">
      <c r="C356" s="7">
        <f>SUM(C333:C354)</f>
        <v>18406</v>
      </c>
    </row>
    <row r="357" spans="1:4" ht="20.25">
      <c r="A357" s="1" t="s">
        <v>205</v>
      </c>
      <c r="B357" s="8" t="s">
        <v>35</v>
      </c>
      <c r="D357" s="7">
        <v>86305.1</v>
      </c>
    </row>
    <row r="358" spans="1:3" ht="18">
      <c r="A358" s="1" t="s">
        <v>206</v>
      </c>
      <c r="B358" s="4" t="s">
        <v>110</v>
      </c>
      <c r="C358" s="6"/>
    </row>
    <row r="359" spans="1:3" ht="18">
      <c r="A359" s="1" t="s">
        <v>207</v>
      </c>
      <c r="B359" s="2" t="s">
        <v>60</v>
      </c>
      <c r="C359" s="6"/>
    </row>
    <row r="360" spans="2:3" ht="18">
      <c r="B360" s="2" t="s">
        <v>319</v>
      </c>
      <c r="C360" s="6"/>
    </row>
    <row r="361" spans="2:3" ht="18">
      <c r="B361" s="2" t="s">
        <v>146</v>
      </c>
      <c r="C361" s="6"/>
    </row>
    <row r="362" spans="2:4" ht="18">
      <c r="B362" s="4" t="s">
        <v>166</v>
      </c>
      <c r="C362" s="6"/>
      <c r="D362" s="15"/>
    </row>
    <row r="363" spans="2:4" ht="18">
      <c r="B363" s="4" t="s">
        <v>367</v>
      </c>
      <c r="C363" s="6"/>
      <c r="D363" s="15"/>
    </row>
    <row r="364" spans="2:4" ht="18">
      <c r="B364" s="4" t="s">
        <v>344</v>
      </c>
      <c r="C364" s="6">
        <f>470</f>
        <v>470</v>
      </c>
      <c r="D364" s="15"/>
    </row>
    <row r="365" spans="2:4" ht="18">
      <c r="B365" s="4" t="s">
        <v>433</v>
      </c>
      <c r="C365" s="6"/>
      <c r="D365" s="15"/>
    </row>
    <row r="366" spans="2:4" ht="18">
      <c r="B366" s="4" t="s">
        <v>96</v>
      </c>
      <c r="C366" s="6"/>
      <c r="D366" s="15"/>
    </row>
    <row r="367" spans="2:4" ht="18">
      <c r="B367" s="4" t="s">
        <v>147</v>
      </c>
      <c r="C367" s="6"/>
      <c r="D367" s="15"/>
    </row>
    <row r="369" spans="2:3" ht="18">
      <c r="B369" s="2" t="s">
        <v>66</v>
      </c>
      <c r="C369" s="6"/>
    </row>
    <row r="370" spans="2:3" ht="18">
      <c r="B370" s="2" t="s">
        <v>400</v>
      </c>
      <c r="C370" s="6">
        <f>824</f>
        <v>824</v>
      </c>
    </row>
    <row r="371" spans="2:3" ht="18">
      <c r="B371" s="2" t="s">
        <v>434</v>
      </c>
      <c r="C371" s="6">
        <f>30856</f>
        <v>30856</v>
      </c>
    </row>
    <row r="372" spans="2:3" ht="18">
      <c r="B372" s="2" t="s">
        <v>69</v>
      </c>
      <c r="C372" s="6"/>
    </row>
    <row r="373" spans="2:3" ht="18">
      <c r="B373" s="2" t="s">
        <v>72</v>
      </c>
      <c r="C373" s="6"/>
    </row>
    <row r="374" spans="2:3" ht="18">
      <c r="B374" s="2" t="s">
        <v>126</v>
      </c>
      <c r="C374" s="6"/>
    </row>
    <row r="375" spans="2:3" ht="18">
      <c r="B375" s="2" t="s">
        <v>120</v>
      </c>
      <c r="C375" s="6">
        <f>11144</f>
        <v>11144</v>
      </c>
    </row>
    <row r="377" spans="2:3" ht="18">
      <c r="B377" s="2" t="s">
        <v>85</v>
      </c>
      <c r="C377" s="6"/>
    </row>
    <row r="378" spans="2:3" ht="18">
      <c r="B378" s="2" t="s">
        <v>86</v>
      </c>
      <c r="C378" s="6"/>
    </row>
    <row r="379" spans="2:3" ht="18">
      <c r="B379" s="2" t="s">
        <v>83</v>
      </c>
      <c r="C379" s="6"/>
    </row>
    <row r="380" spans="2:3" ht="18">
      <c r="B380" s="2" t="s">
        <v>84</v>
      </c>
      <c r="C380" s="6">
        <f>1313</f>
        <v>1313</v>
      </c>
    </row>
    <row r="381" spans="2:3" ht="18">
      <c r="B381" s="2" t="s">
        <v>87</v>
      </c>
      <c r="C381" s="6">
        <f>187</f>
        <v>187</v>
      </c>
    </row>
    <row r="382" spans="2:3" ht="18">
      <c r="B382" s="2" t="s">
        <v>88</v>
      </c>
      <c r="C382" s="6">
        <f>505</f>
        <v>505</v>
      </c>
    </row>
    <row r="383" spans="2:3" ht="18">
      <c r="B383" s="2" t="s">
        <v>89</v>
      </c>
      <c r="C383" s="6"/>
    </row>
    <row r="384" ht="18">
      <c r="C384" s="7">
        <f>SUM(C358:C383)</f>
        <v>45299</v>
      </c>
    </row>
    <row r="385" ht="18">
      <c r="C385" s="7"/>
    </row>
    <row r="386" spans="1:4" ht="20.25">
      <c r="A386" s="1" t="s">
        <v>208</v>
      </c>
      <c r="B386" s="8" t="s">
        <v>435</v>
      </c>
      <c r="D386" s="7">
        <v>81998</v>
      </c>
    </row>
    <row r="387" spans="1:3" ht="18">
      <c r="A387" s="1" t="s">
        <v>436</v>
      </c>
      <c r="B387" s="4" t="s">
        <v>437</v>
      </c>
      <c r="C387" s="6"/>
    </row>
    <row r="388" spans="1:3" ht="18">
      <c r="A388" s="1" t="s">
        <v>438</v>
      </c>
      <c r="B388" s="4" t="s">
        <v>158</v>
      </c>
      <c r="C388" s="6"/>
    </row>
    <row r="389" spans="2:3" ht="18">
      <c r="B389" s="4" t="s">
        <v>110</v>
      </c>
      <c r="C389" s="6"/>
    </row>
    <row r="390" ht="18">
      <c r="C390" s="7"/>
    </row>
    <row r="391" ht="18">
      <c r="C391" s="7"/>
    </row>
    <row r="392" spans="2:3" ht="18">
      <c r="B392" s="2" t="s">
        <v>66</v>
      </c>
      <c r="C392" s="6"/>
    </row>
    <row r="393" spans="2:3" ht="18">
      <c r="B393" s="2" t="s">
        <v>64</v>
      </c>
      <c r="C393" s="6"/>
    </row>
    <row r="394" spans="2:3" ht="18">
      <c r="B394" s="2" t="s">
        <v>67</v>
      </c>
      <c r="C394" s="6"/>
    </row>
    <row r="395" spans="2:3" ht="18">
      <c r="B395" s="2" t="s">
        <v>76</v>
      </c>
      <c r="C395" s="6"/>
    </row>
    <row r="396" spans="2:3" ht="18">
      <c r="B396" s="2" t="s">
        <v>69</v>
      </c>
      <c r="C396" s="6"/>
    </row>
    <row r="397" spans="2:3" ht="18">
      <c r="B397" s="2" t="s">
        <v>120</v>
      </c>
      <c r="C397" s="6">
        <v>9704</v>
      </c>
    </row>
    <row r="399" spans="2:3" ht="18">
      <c r="B399" s="2" t="s">
        <v>85</v>
      </c>
      <c r="C399" s="6"/>
    </row>
    <row r="400" spans="2:3" ht="18">
      <c r="B400" s="2" t="s">
        <v>86</v>
      </c>
      <c r="C400" s="6"/>
    </row>
    <row r="401" spans="2:3" ht="18">
      <c r="B401" s="2" t="s">
        <v>83</v>
      </c>
      <c r="C401" s="6"/>
    </row>
    <row r="402" spans="2:3" ht="18">
      <c r="B402" s="2" t="s">
        <v>84</v>
      </c>
      <c r="C402" s="6"/>
    </row>
    <row r="403" ht="18">
      <c r="C403" s="7"/>
    </row>
    <row r="404" ht="18">
      <c r="C404" s="7">
        <f>SUM(C387:C403)</f>
        <v>9704</v>
      </c>
    </row>
    <row r="405" ht="18">
      <c r="C405" s="7"/>
    </row>
    <row r="406" ht="18">
      <c r="C406" s="7"/>
    </row>
    <row r="407" spans="1:4" ht="20.25">
      <c r="A407" s="1" t="s">
        <v>209</v>
      </c>
      <c r="B407" s="8" t="s">
        <v>36</v>
      </c>
      <c r="D407" s="7">
        <v>164291.4</v>
      </c>
    </row>
    <row r="408" spans="1:3" ht="18">
      <c r="A408" s="1" t="s">
        <v>210</v>
      </c>
      <c r="B408" s="4" t="s">
        <v>376</v>
      </c>
      <c r="C408" s="6">
        <v>3229</v>
      </c>
    </row>
    <row r="409" spans="1:3" ht="18">
      <c r="A409" s="1" t="s">
        <v>211</v>
      </c>
      <c r="B409" s="2" t="s">
        <v>117</v>
      </c>
      <c r="C409" s="6"/>
    </row>
    <row r="410" spans="2:3" ht="18">
      <c r="B410" s="2" t="s">
        <v>78</v>
      </c>
      <c r="C410" s="6">
        <f>1133</f>
        <v>1133</v>
      </c>
    </row>
    <row r="411" spans="2:3" ht="18">
      <c r="B411" s="2" t="s">
        <v>295</v>
      </c>
      <c r="C411" s="6"/>
    </row>
    <row r="412" spans="2:3" ht="18">
      <c r="B412" s="4" t="s">
        <v>80</v>
      </c>
      <c r="C412" s="6"/>
    </row>
    <row r="413" spans="2:3" ht="18">
      <c r="B413" s="4" t="s">
        <v>147</v>
      </c>
      <c r="C413" s="6"/>
    </row>
    <row r="414" ht="18">
      <c r="B414" s="11"/>
    </row>
    <row r="415" spans="2:3" ht="18">
      <c r="B415" s="2" t="s">
        <v>390</v>
      </c>
      <c r="C415" s="6">
        <f>447</f>
        <v>447</v>
      </c>
    </row>
    <row r="416" spans="2:3" ht="18">
      <c r="B416" s="2" t="s">
        <v>400</v>
      </c>
      <c r="C416" s="6">
        <f>824</f>
        <v>824</v>
      </c>
    </row>
    <row r="417" spans="2:3" ht="18">
      <c r="B417" s="2" t="s">
        <v>69</v>
      </c>
      <c r="C417" s="6"/>
    </row>
    <row r="418" spans="2:3" ht="18">
      <c r="B418" s="2" t="s">
        <v>104</v>
      </c>
      <c r="C418" s="6">
        <f>1591</f>
        <v>1591</v>
      </c>
    </row>
    <row r="419" spans="2:3" ht="18">
      <c r="B419" s="2" t="s">
        <v>67</v>
      </c>
      <c r="C419" s="6"/>
    </row>
    <row r="420" spans="2:3" ht="18">
      <c r="B420" s="2" t="s">
        <v>12</v>
      </c>
      <c r="C420" s="6"/>
    </row>
    <row r="421" spans="2:3" ht="18">
      <c r="B421" s="2" t="s">
        <v>120</v>
      </c>
      <c r="C421" s="6">
        <f>19053</f>
        <v>19053</v>
      </c>
    </row>
    <row r="423" spans="2:3" ht="18">
      <c r="B423" s="2" t="s">
        <v>85</v>
      </c>
      <c r="C423" s="6">
        <f>2745+5127+2563</f>
        <v>10435</v>
      </c>
    </row>
    <row r="424" spans="2:3" ht="18">
      <c r="B424" s="2" t="s">
        <v>86</v>
      </c>
      <c r="C424" s="6">
        <f>3139</f>
        <v>3139</v>
      </c>
    </row>
    <row r="425" spans="2:3" ht="18">
      <c r="B425" s="2" t="s">
        <v>83</v>
      </c>
      <c r="C425" s="6">
        <f>168+57+29+19</f>
        <v>273</v>
      </c>
    </row>
    <row r="426" spans="2:3" ht="18">
      <c r="B426" s="2" t="s">
        <v>84</v>
      </c>
      <c r="C426" s="6">
        <f>1141</f>
        <v>1141</v>
      </c>
    </row>
    <row r="427" spans="2:3" ht="18">
      <c r="B427" s="2" t="s">
        <v>87</v>
      </c>
      <c r="C427" s="6">
        <f>392+385+385+373+1100+463+187</f>
        <v>3285</v>
      </c>
    </row>
    <row r="428" spans="2:3" ht="18">
      <c r="B428" s="2" t="s">
        <v>88</v>
      </c>
      <c r="C428" s="6">
        <f>505+505</f>
        <v>1010</v>
      </c>
    </row>
    <row r="429" spans="2:3" ht="18">
      <c r="B429" s="2" t="s">
        <v>89</v>
      </c>
      <c r="C429" s="6"/>
    </row>
    <row r="430" ht="18">
      <c r="C430" s="7">
        <f>SUM(C408:C428)</f>
        <v>45560</v>
      </c>
    </row>
    <row r="431" spans="1:4" ht="20.25">
      <c r="A431" s="1" t="s">
        <v>208</v>
      </c>
      <c r="B431" s="8" t="s">
        <v>37</v>
      </c>
      <c r="D431" s="7">
        <v>253544.9</v>
      </c>
    </row>
    <row r="432" spans="1:3" ht="18">
      <c r="A432" s="1" t="s">
        <v>212</v>
      </c>
      <c r="B432" s="2" t="s">
        <v>117</v>
      </c>
      <c r="C432" s="6"/>
    </row>
    <row r="433" spans="1:3" ht="18">
      <c r="A433" s="1" t="s">
        <v>213</v>
      </c>
      <c r="B433" s="2" t="s">
        <v>426</v>
      </c>
      <c r="C433" s="6">
        <f>725+2031+10000</f>
        <v>12756</v>
      </c>
    </row>
    <row r="434" spans="2:3" ht="18">
      <c r="B434" s="2" t="s">
        <v>320</v>
      </c>
      <c r="C434" s="6"/>
    </row>
    <row r="435" spans="2:3" ht="18">
      <c r="B435" s="2" t="s">
        <v>439</v>
      </c>
      <c r="C435" s="6">
        <f>3704</f>
        <v>3704</v>
      </c>
    </row>
    <row r="436" spans="2:3" ht="18">
      <c r="B436" s="4" t="s">
        <v>80</v>
      </c>
      <c r="C436" s="6">
        <f>2823+1316+4190</f>
        <v>8329</v>
      </c>
    </row>
    <row r="437" spans="2:3" ht="18">
      <c r="B437" s="4" t="s">
        <v>158</v>
      </c>
      <c r="C437" s="6"/>
    </row>
    <row r="438" spans="2:3" ht="18">
      <c r="B438" s="4" t="s">
        <v>440</v>
      </c>
      <c r="C438" s="6">
        <f>2417</f>
        <v>2417</v>
      </c>
    </row>
    <row r="439" spans="2:3" ht="18">
      <c r="B439" s="4" t="s">
        <v>285</v>
      </c>
      <c r="C439" s="6"/>
    </row>
    <row r="440" spans="2:3" ht="18">
      <c r="B440" s="4" t="s">
        <v>280</v>
      </c>
      <c r="C440" s="6"/>
    </row>
    <row r="441" spans="2:3" ht="18">
      <c r="B441" s="2" t="s">
        <v>135</v>
      </c>
      <c r="C441" s="6"/>
    </row>
    <row r="442" spans="2:3" ht="18">
      <c r="B442" s="2" t="s">
        <v>427</v>
      </c>
      <c r="C442" s="6"/>
    </row>
    <row r="443" spans="2:3" ht="18">
      <c r="B443" s="2" t="s">
        <v>396</v>
      </c>
      <c r="C443" s="6">
        <f>207</f>
        <v>207</v>
      </c>
    </row>
    <row r="444" spans="2:3" ht="18">
      <c r="B444" s="2" t="s">
        <v>147</v>
      </c>
      <c r="C444" s="6"/>
    </row>
    <row r="445" ht="20.25">
      <c r="B445" s="8"/>
    </row>
    <row r="446" spans="2:3" ht="18">
      <c r="B446" s="4" t="s">
        <v>441</v>
      </c>
      <c r="C446" s="6">
        <f>1668+1262+2293+19786</f>
        <v>25009</v>
      </c>
    </row>
    <row r="447" spans="2:3" ht="18">
      <c r="B447" s="2" t="s">
        <v>442</v>
      </c>
      <c r="C447" s="6">
        <f>3328+4630+5997</f>
        <v>13955</v>
      </c>
    </row>
    <row r="448" spans="2:3" ht="18">
      <c r="B448" s="2" t="s">
        <v>443</v>
      </c>
      <c r="C448" s="6">
        <f>1441+3309</f>
        <v>4750</v>
      </c>
    </row>
    <row r="449" spans="2:3" ht="18">
      <c r="B449" s="2" t="s">
        <v>93</v>
      </c>
      <c r="C449" s="6"/>
    </row>
    <row r="450" spans="2:3" ht="18">
      <c r="B450" s="2" t="s">
        <v>444</v>
      </c>
      <c r="C450" s="6">
        <f>612</f>
        <v>612</v>
      </c>
    </row>
    <row r="451" spans="2:3" ht="18">
      <c r="B451" s="2" t="s">
        <v>445</v>
      </c>
      <c r="C451" s="6">
        <f>1273</f>
        <v>1273</v>
      </c>
    </row>
    <row r="452" spans="2:3" ht="18">
      <c r="B452" s="2" t="s">
        <v>12</v>
      </c>
      <c r="C452" s="6"/>
    </row>
    <row r="453" spans="2:3" ht="18">
      <c r="B453" s="2" t="s">
        <v>120</v>
      </c>
      <c r="C453" s="6">
        <f>28989</f>
        <v>28989</v>
      </c>
    </row>
    <row r="455" spans="2:3" ht="18">
      <c r="B455" s="2" t="s">
        <v>85</v>
      </c>
      <c r="C455" s="6">
        <f>2745+5127+5127</f>
        <v>12999</v>
      </c>
    </row>
    <row r="456" spans="2:3" ht="18">
      <c r="B456" s="2" t="s">
        <v>86</v>
      </c>
      <c r="C456" s="6"/>
    </row>
    <row r="457" spans="2:3" ht="18">
      <c r="B457" s="2" t="s">
        <v>83</v>
      </c>
      <c r="C457" s="6">
        <f>168+57+19+57</f>
        <v>301</v>
      </c>
    </row>
    <row r="458" spans="2:3" ht="18">
      <c r="B458" s="2" t="s">
        <v>84</v>
      </c>
      <c r="C458" s="6">
        <f>1313</f>
        <v>1313</v>
      </c>
    </row>
    <row r="459" spans="2:3" ht="18">
      <c r="B459" s="2" t="s">
        <v>87</v>
      </c>
      <c r="C459" s="6">
        <f>637+805+560+420+187+288+233+596</f>
        <v>3726</v>
      </c>
    </row>
    <row r="460" spans="2:3" ht="18">
      <c r="B460" s="2" t="s">
        <v>88</v>
      </c>
      <c r="C460" s="6">
        <f>536+536+1515+505</f>
        <v>3092</v>
      </c>
    </row>
    <row r="461" spans="2:3" ht="18">
      <c r="B461" s="2" t="s">
        <v>89</v>
      </c>
      <c r="C461" s="6"/>
    </row>
    <row r="462" ht="18">
      <c r="C462" s="7">
        <f>SUM(C432:C460)</f>
        <v>123432</v>
      </c>
    </row>
    <row r="463" spans="1:4" ht="20.25">
      <c r="A463" s="1" t="s">
        <v>183</v>
      </c>
      <c r="B463" s="8" t="s">
        <v>13</v>
      </c>
      <c r="D463" s="7">
        <v>40037.4</v>
      </c>
    </row>
    <row r="464" spans="1:3" ht="18">
      <c r="A464" s="1" t="s">
        <v>214</v>
      </c>
      <c r="B464" s="4" t="s">
        <v>158</v>
      </c>
      <c r="C464" s="12"/>
    </row>
    <row r="465" spans="1:3" ht="18">
      <c r="A465" s="1" t="s">
        <v>215</v>
      </c>
      <c r="B465" s="4" t="s">
        <v>80</v>
      </c>
      <c r="C465" s="12">
        <f>2052</f>
        <v>2052</v>
      </c>
    </row>
    <row r="466" spans="2:3" ht="18">
      <c r="B466" s="4" t="s">
        <v>117</v>
      </c>
      <c r="C466" s="12"/>
    </row>
    <row r="467" ht="20.25">
      <c r="B467" s="8"/>
    </row>
    <row r="468" spans="2:3" ht="18">
      <c r="B468" s="2" t="s">
        <v>141</v>
      </c>
      <c r="C468" s="6"/>
    </row>
    <row r="469" spans="2:3" ht="18">
      <c r="B469" s="2" t="s">
        <v>405</v>
      </c>
      <c r="C469" s="6">
        <f>1014+1892</f>
        <v>2906</v>
      </c>
    </row>
    <row r="470" spans="2:3" ht="18">
      <c r="B470" s="2" t="s">
        <v>67</v>
      </c>
      <c r="C470" s="6"/>
    </row>
    <row r="471" spans="2:3" ht="18">
      <c r="B471" s="2" t="s">
        <v>120</v>
      </c>
      <c r="C471" s="6">
        <f>3972</f>
        <v>3972</v>
      </c>
    </row>
    <row r="473" spans="2:3" ht="18">
      <c r="B473" s="2" t="s">
        <v>85</v>
      </c>
      <c r="C473" s="6"/>
    </row>
    <row r="474" spans="2:3" ht="18">
      <c r="B474" s="2" t="s">
        <v>86</v>
      </c>
      <c r="C474" s="6"/>
    </row>
    <row r="475" spans="2:3" ht="18">
      <c r="B475" s="2" t="s">
        <v>83</v>
      </c>
      <c r="C475" s="6"/>
    </row>
    <row r="476" spans="2:3" ht="18">
      <c r="B476" s="2" t="s">
        <v>84</v>
      </c>
      <c r="C476" s="6"/>
    </row>
    <row r="477" spans="2:3" ht="18">
      <c r="B477" s="2" t="s">
        <v>87</v>
      </c>
      <c r="C477" s="6">
        <f>196+196+294+280+280+233</f>
        <v>1479</v>
      </c>
    </row>
    <row r="478" spans="2:3" ht="18">
      <c r="B478" s="2" t="s">
        <v>88</v>
      </c>
      <c r="C478" s="6"/>
    </row>
    <row r="479" spans="2:3" ht="18">
      <c r="B479" s="2" t="s">
        <v>89</v>
      </c>
      <c r="C479" s="6"/>
    </row>
    <row r="480" ht="18">
      <c r="C480" s="7">
        <f>SUM(C464:C478)</f>
        <v>10409</v>
      </c>
    </row>
    <row r="481" spans="1:4" ht="20.25">
      <c r="A481" s="1" t="s">
        <v>216</v>
      </c>
      <c r="B481" s="8" t="s">
        <v>26</v>
      </c>
      <c r="D481" s="7">
        <v>494284.1</v>
      </c>
    </row>
    <row r="482" spans="1:3" ht="18">
      <c r="A482" s="1" t="s">
        <v>217</v>
      </c>
      <c r="B482" s="4" t="s">
        <v>80</v>
      </c>
      <c r="C482" s="6">
        <f>2823</f>
        <v>2823</v>
      </c>
    </row>
    <row r="483" spans="1:3" ht="18">
      <c r="A483" s="1" t="s">
        <v>218</v>
      </c>
      <c r="B483" s="4" t="s">
        <v>446</v>
      </c>
      <c r="C483" s="6">
        <f>1480+1889+1133</f>
        <v>4502</v>
      </c>
    </row>
    <row r="484" spans="2:3" ht="18">
      <c r="B484" s="4" t="s">
        <v>313</v>
      </c>
      <c r="C484" s="6"/>
    </row>
    <row r="485" spans="2:3" ht="18">
      <c r="B485" s="4" t="s">
        <v>447</v>
      </c>
      <c r="C485" s="6"/>
    </row>
    <row r="486" spans="2:3" ht="18">
      <c r="B486" s="2" t="s">
        <v>448</v>
      </c>
      <c r="C486" s="6">
        <f>87891</f>
        <v>87891</v>
      </c>
    </row>
    <row r="487" spans="2:3" ht="18">
      <c r="B487" s="2" t="s">
        <v>449</v>
      </c>
      <c r="C487" s="6">
        <f>1878</f>
        <v>1878</v>
      </c>
    </row>
    <row r="488" spans="2:3" ht="18">
      <c r="B488" s="2" t="s">
        <v>102</v>
      </c>
      <c r="C488" s="6"/>
    </row>
    <row r="489" spans="2:3" ht="18">
      <c r="B489" s="2" t="s">
        <v>364</v>
      </c>
      <c r="C489" s="6">
        <f>9817</f>
        <v>9817</v>
      </c>
    </row>
    <row r="490" spans="2:3" ht="18">
      <c r="B490" s="2" t="s">
        <v>450</v>
      </c>
      <c r="C490" s="6">
        <f>207</f>
        <v>207</v>
      </c>
    </row>
    <row r="491" spans="2:3" ht="18">
      <c r="B491" s="2" t="s">
        <v>279</v>
      </c>
      <c r="C491" s="6"/>
    </row>
    <row r="492" spans="2:3" ht="18">
      <c r="B492" s="2" t="s">
        <v>360</v>
      </c>
      <c r="C492" s="6" t="s">
        <v>413</v>
      </c>
    </row>
    <row r="493" spans="2:3" ht="18">
      <c r="B493" s="2" t="s">
        <v>344</v>
      </c>
      <c r="C493" s="6"/>
    </row>
    <row r="494" spans="2:3" ht="18">
      <c r="B494" s="2" t="s">
        <v>354</v>
      </c>
      <c r="C494" s="6"/>
    </row>
    <row r="495" spans="2:3" ht="18">
      <c r="B495" s="2" t="s">
        <v>355</v>
      </c>
      <c r="C495" s="6"/>
    </row>
    <row r="496" spans="2:3" ht="18">
      <c r="B496" s="2" t="s">
        <v>288</v>
      </c>
      <c r="C496" s="6"/>
    </row>
    <row r="497" spans="2:3" ht="18">
      <c r="B497" s="2" t="s">
        <v>281</v>
      </c>
      <c r="C497" s="6"/>
    </row>
    <row r="498" spans="2:3" ht="18">
      <c r="B498" s="2" t="s">
        <v>135</v>
      </c>
      <c r="C498" s="6"/>
    </row>
    <row r="499" ht="20.25">
      <c r="B499" s="10"/>
    </row>
    <row r="500" spans="2:3" ht="18">
      <c r="B500" s="2" t="s">
        <v>451</v>
      </c>
      <c r="C500" s="6">
        <f>1866+1244+4156+3785+5962+6934+25367</f>
        <v>49314</v>
      </c>
    </row>
    <row r="501" spans="2:3" ht="18">
      <c r="B501" s="2" t="s">
        <v>452</v>
      </c>
      <c r="C501" s="6">
        <f>9966+8436</f>
        <v>18402</v>
      </c>
    </row>
    <row r="502" spans="2:3" ht="18">
      <c r="B502" s="2" t="s">
        <v>453</v>
      </c>
      <c r="C502" s="6">
        <f>2170+702+1571+961+2048</f>
        <v>7452</v>
      </c>
    </row>
    <row r="503" spans="2:3" ht="18">
      <c r="B503" s="2" t="s">
        <v>76</v>
      </c>
      <c r="C503" s="6">
        <f>1301</f>
        <v>1301</v>
      </c>
    </row>
    <row r="504" spans="2:3" ht="18">
      <c r="B504" s="2" t="s">
        <v>12</v>
      </c>
      <c r="C504" s="6"/>
    </row>
    <row r="505" spans="2:3" ht="18">
      <c r="B505" s="2" t="s">
        <v>454</v>
      </c>
      <c r="C505" s="6">
        <f>1826+718+2472</f>
        <v>5016</v>
      </c>
    </row>
    <row r="506" spans="2:3" ht="18">
      <c r="B506" s="2" t="s">
        <v>141</v>
      </c>
      <c r="C506" s="6"/>
    </row>
    <row r="507" spans="2:3" ht="18">
      <c r="B507" s="2" t="s">
        <v>455</v>
      </c>
      <c r="C507" s="6">
        <f>2202+4975+2690</f>
        <v>9867</v>
      </c>
    </row>
    <row r="508" spans="2:3" ht="18">
      <c r="B508" s="2" t="s">
        <v>456</v>
      </c>
      <c r="C508" s="6">
        <f>10596</f>
        <v>10596</v>
      </c>
    </row>
    <row r="509" spans="2:3" ht="18">
      <c r="B509" s="2" t="s">
        <v>457</v>
      </c>
      <c r="C509" s="6">
        <f>2202</f>
        <v>2202</v>
      </c>
    </row>
    <row r="510" spans="2:3" ht="18">
      <c r="B510" s="2" t="s">
        <v>120</v>
      </c>
      <c r="C510" s="6">
        <f>46899</f>
        <v>46899</v>
      </c>
    </row>
    <row r="512" spans="2:3" ht="18">
      <c r="B512" s="2" t="s">
        <v>85</v>
      </c>
      <c r="C512" s="6">
        <f>5745+3000+5745+5127+3075+5127+2819+5638</f>
        <v>36276</v>
      </c>
    </row>
    <row r="513" spans="2:3" ht="18">
      <c r="B513" s="2" t="s">
        <v>86</v>
      </c>
      <c r="C513" s="6">
        <f>3139</f>
        <v>3139</v>
      </c>
    </row>
    <row r="514" spans="2:3" ht="18">
      <c r="B514" s="2" t="s">
        <v>83</v>
      </c>
      <c r="C514" s="6">
        <f>90+34+68+77+67+86+48+115</f>
        <v>585</v>
      </c>
    </row>
    <row r="515" spans="2:3" ht="18">
      <c r="B515" s="2" t="s">
        <v>84</v>
      </c>
      <c r="C515" s="6">
        <f>1288+1313+2626+1141</f>
        <v>6368</v>
      </c>
    </row>
    <row r="516" spans="2:3" ht="18">
      <c r="B516" s="2" t="s">
        <v>87</v>
      </c>
      <c r="C516" s="6">
        <f>924+1463+784+970+913+232+840+1698+653</f>
        <v>8477</v>
      </c>
    </row>
    <row r="517" spans="2:3" ht="18">
      <c r="B517" s="2" t="s">
        <v>95</v>
      </c>
      <c r="C517" s="6">
        <f>306</f>
        <v>306</v>
      </c>
    </row>
    <row r="518" spans="2:3" ht="18">
      <c r="B518" s="2" t="s">
        <v>88</v>
      </c>
      <c r="C518" s="6"/>
    </row>
    <row r="519" spans="2:3" ht="18">
      <c r="B519" s="2" t="s">
        <v>89</v>
      </c>
      <c r="C519" s="6"/>
    </row>
    <row r="520" ht="18">
      <c r="C520" s="7">
        <f>SUM(C482:C519)</f>
        <v>313318</v>
      </c>
    </row>
    <row r="521" spans="1:4" ht="20.25">
      <c r="A521" s="1" t="s">
        <v>219</v>
      </c>
      <c r="B521" s="8" t="s">
        <v>6</v>
      </c>
      <c r="D521" s="14">
        <v>161928</v>
      </c>
    </row>
    <row r="522" spans="1:3" ht="18">
      <c r="A522" s="1" t="s">
        <v>220</v>
      </c>
      <c r="B522" s="4" t="s">
        <v>128</v>
      </c>
      <c r="C522" s="6"/>
    </row>
    <row r="523" spans="1:3" ht="18">
      <c r="A523" s="1" t="s">
        <v>221</v>
      </c>
      <c r="B523" s="4" t="s">
        <v>80</v>
      </c>
      <c r="C523" s="6"/>
    </row>
    <row r="524" spans="2:3" ht="18">
      <c r="B524" s="2" t="s">
        <v>100</v>
      </c>
      <c r="C524" s="6"/>
    </row>
    <row r="525" spans="2:3" ht="18">
      <c r="B525" s="2" t="s">
        <v>282</v>
      </c>
      <c r="C525" s="6"/>
    </row>
    <row r="526" spans="2:3" ht="18">
      <c r="B526" s="2" t="s">
        <v>300</v>
      </c>
      <c r="C526" s="6"/>
    </row>
    <row r="527" spans="2:3" ht="18">
      <c r="B527" s="2" t="s">
        <v>124</v>
      </c>
      <c r="C527" s="6"/>
    </row>
    <row r="528" spans="2:3" ht="18">
      <c r="B528" s="2" t="s">
        <v>119</v>
      </c>
      <c r="C528" s="6"/>
    </row>
    <row r="529" spans="2:3" ht="18">
      <c r="B529" s="2" t="s">
        <v>117</v>
      </c>
      <c r="C529" s="6"/>
    </row>
    <row r="530" spans="2:3" ht="18">
      <c r="B530" s="2" t="s">
        <v>158</v>
      </c>
      <c r="C530" s="6"/>
    </row>
    <row r="531" spans="2:3" ht="18">
      <c r="B531" s="4" t="s">
        <v>363</v>
      </c>
      <c r="C531" s="6">
        <f>29058</f>
        <v>29058</v>
      </c>
    </row>
    <row r="532" spans="2:3" ht="18">
      <c r="B532" s="4" t="s">
        <v>289</v>
      </c>
      <c r="C532" s="6"/>
    </row>
    <row r="533" spans="2:3" ht="18">
      <c r="B533" s="2" t="s">
        <v>329</v>
      </c>
      <c r="C533" s="6"/>
    </row>
    <row r="534" spans="2:3" ht="18">
      <c r="B534" s="4" t="s">
        <v>330</v>
      </c>
      <c r="C534" s="6"/>
    </row>
    <row r="535" spans="2:3" ht="18">
      <c r="B535" s="4" t="s">
        <v>139</v>
      </c>
      <c r="C535" s="6"/>
    </row>
    <row r="537" spans="2:3" ht="18">
      <c r="B537" s="2" t="s">
        <v>388</v>
      </c>
      <c r="C537" s="6">
        <f>516</f>
        <v>516</v>
      </c>
    </row>
    <row r="538" spans="2:3" ht="18">
      <c r="B538" s="2" t="s">
        <v>64</v>
      </c>
      <c r="C538" s="6"/>
    </row>
    <row r="539" spans="2:3" ht="18">
      <c r="B539" s="2" t="s">
        <v>67</v>
      </c>
      <c r="C539" s="6"/>
    </row>
    <row r="540" spans="2:3" ht="18">
      <c r="B540" s="2" t="s">
        <v>93</v>
      </c>
      <c r="C540" s="6"/>
    </row>
    <row r="541" spans="2:3" ht="18">
      <c r="B541" s="2" t="s">
        <v>12</v>
      </c>
      <c r="C541" s="6"/>
    </row>
    <row r="542" spans="2:3" ht="18">
      <c r="B542" s="2" t="s">
        <v>458</v>
      </c>
      <c r="C542" s="6">
        <f>10564</f>
        <v>10564</v>
      </c>
    </row>
    <row r="543" spans="2:3" ht="18">
      <c r="B543" s="2" t="s">
        <v>120</v>
      </c>
      <c r="C543" s="6"/>
    </row>
    <row r="545" spans="2:3" ht="18">
      <c r="B545" s="2" t="s">
        <v>85</v>
      </c>
      <c r="C545" s="6"/>
    </row>
    <row r="546" spans="2:3" ht="18">
      <c r="B546" s="2" t="s">
        <v>86</v>
      </c>
      <c r="C546" s="6"/>
    </row>
    <row r="547" spans="2:3" ht="18">
      <c r="B547" s="2" t="s">
        <v>83</v>
      </c>
      <c r="C547" s="6"/>
    </row>
    <row r="548" spans="2:3" ht="18">
      <c r="B548" s="2" t="s">
        <v>133</v>
      </c>
      <c r="C548" s="6"/>
    </row>
    <row r="549" spans="2:3" ht="18">
      <c r="B549" s="2" t="s">
        <v>87</v>
      </c>
      <c r="C549" s="6">
        <f>196+196</f>
        <v>392</v>
      </c>
    </row>
    <row r="550" spans="2:3" ht="18">
      <c r="B550" s="2" t="s">
        <v>88</v>
      </c>
      <c r="C550" s="6"/>
    </row>
    <row r="551" spans="2:3" ht="18">
      <c r="B551" s="2" t="s">
        <v>89</v>
      </c>
      <c r="C551" s="6"/>
    </row>
    <row r="552" ht="18">
      <c r="C552" s="7">
        <f>SUM(C522:C551)</f>
        <v>40530</v>
      </c>
    </row>
    <row r="553" spans="1:4" ht="20.25">
      <c r="A553" s="1" t="s">
        <v>219</v>
      </c>
      <c r="B553" s="8" t="s">
        <v>7</v>
      </c>
      <c r="D553" s="7">
        <v>161477.6</v>
      </c>
    </row>
    <row r="554" spans="1:3" ht="18">
      <c r="A554" s="1" t="s">
        <v>222</v>
      </c>
      <c r="B554" s="4" t="s">
        <v>368</v>
      </c>
      <c r="C554" s="6"/>
    </row>
    <row r="555" spans="1:3" ht="18">
      <c r="A555" s="1" t="s">
        <v>223</v>
      </c>
      <c r="B555" s="2" t="s">
        <v>100</v>
      </c>
      <c r="C555" s="6"/>
    </row>
    <row r="556" spans="2:3" ht="18">
      <c r="B556" s="4" t="s">
        <v>61</v>
      </c>
      <c r="C556" s="6">
        <f>986</f>
        <v>986</v>
      </c>
    </row>
    <row r="557" spans="2:3" ht="18">
      <c r="B557" s="4" t="s">
        <v>459</v>
      </c>
      <c r="C557" s="6"/>
    </row>
    <row r="558" spans="2:3" ht="18">
      <c r="B558" s="4" t="s">
        <v>80</v>
      </c>
      <c r="C558" s="6"/>
    </row>
    <row r="559" spans="2:3" ht="18">
      <c r="B559" s="2" t="s">
        <v>145</v>
      </c>
      <c r="C559" s="6"/>
    </row>
    <row r="560" spans="2:3" ht="18">
      <c r="B560" s="2" t="s">
        <v>117</v>
      </c>
      <c r="C560" s="6"/>
    </row>
    <row r="561" spans="2:3" ht="18">
      <c r="B561" s="2" t="s">
        <v>151</v>
      </c>
      <c r="C561" s="6"/>
    </row>
    <row r="563" spans="2:3" ht="18">
      <c r="B563" s="4" t="s">
        <v>66</v>
      </c>
      <c r="C563" s="6"/>
    </row>
    <row r="564" spans="2:3" ht="18">
      <c r="B564" s="2" t="s">
        <v>397</v>
      </c>
      <c r="C564" s="6">
        <f>824+824</f>
        <v>1648</v>
      </c>
    </row>
    <row r="565" spans="2:3" ht="18">
      <c r="B565" s="2" t="s">
        <v>157</v>
      </c>
      <c r="C565" s="6"/>
    </row>
    <row r="566" spans="2:3" ht="18">
      <c r="B566" s="2" t="s">
        <v>156</v>
      </c>
      <c r="C566" s="6"/>
    </row>
    <row r="567" spans="2:3" ht="18">
      <c r="B567" s="2" t="s">
        <v>120</v>
      </c>
      <c r="C567" s="6">
        <f>22385</f>
        <v>22385</v>
      </c>
    </row>
    <row r="568" spans="2:3" ht="18">
      <c r="B568" s="2" t="s">
        <v>93</v>
      </c>
      <c r="C568" s="6"/>
    </row>
    <row r="569" spans="2:3" ht="18">
      <c r="B569" s="2" t="s">
        <v>460</v>
      </c>
      <c r="C569" s="6">
        <f>2004+8477</f>
        <v>10481</v>
      </c>
    </row>
    <row r="570" spans="2:3" ht="18">
      <c r="B570" s="2" t="s">
        <v>277</v>
      </c>
      <c r="C570" s="6"/>
    </row>
    <row r="572" spans="2:3" ht="18">
      <c r="B572" s="2" t="s">
        <v>85</v>
      </c>
      <c r="C572" s="6">
        <f>2745+2563</f>
        <v>5308</v>
      </c>
    </row>
    <row r="573" spans="2:3" ht="18">
      <c r="B573" s="2" t="s">
        <v>86</v>
      </c>
      <c r="C573" s="6"/>
    </row>
    <row r="574" spans="2:3" ht="18">
      <c r="B574" s="2" t="s">
        <v>83</v>
      </c>
      <c r="C574" s="6">
        <f>167+19+29</f>
        <v>215</v>
      </c>
    </row>
    <row r="575" spans="2:3" ht="18">
      <c r="B575" s="2" t="s">
        <v>132</v>
      </c>
      <c r="C575" s="6">
        <f>1313</f>
        <v>1313</v>
      </c>
    </row>
    <row r="576" spans="2:3" ht="18">
      <c r="B576" s="2" t="s">
        <v>87</v>
      </c>
      <c r="C576" s="6">
        <f>196+343+392+187+187+187</f>
        <v>1492</v>
      </c>
    </row>
    <row r="577" spans="2:3" ht="18">
      <c r="B577" s="2" t="s">
        <v>88</v>
      </c>
      <c r="C577" s="6">
        <f>1010</f>
        <v>1010</v>
      </c>
    </row>
    <row r="578" spans="2:3" ht="18">
      <c r="B578" s="2" t="s">
        <v>89</v>
      </c>
      <c r="C578" s="6"/>
    </row>
    <row r="579" ht="18">
      <c r="C579" s="7">
        <f>SUM(C554:C578)</f>
        <v>44838</v>
      </c>
    </row>
    <row r="580" spans="1:4" ht="20.25">
      <c r="A580" s="1" t="s">
        <v>224</v>
      </c>
      <c r="B580" s="8" t="s">
        <v>38</v>
      </c>
      <c r="D580" s="7">
        <v>288861.3</v>
      </c>
    </row>
    <row r="581" spans="1:3" ht="18">
      <c r="A581" s="1" t="s">
        <v>225</v>
      </c>
      <c r="B581" s="4" t="s">
        <v>80</v>
      </c>
      <c r="C581" s="6"/>
    </row>
    <row r="582" spans="1:3" ht="18">
      <c r="A582" s="1" t="s">
        <v>226</v>
      </c>
      <c r="B582" s="2" t="s">
        <v>117</v>
      </c>
      <c r="C582" s="6"/>
    </row>
    <row r="583" spans="2:3" ht="18">
      <c r="B583" s="2" t="s">
        <v>461</v>
      </c>
      <c r="C583" s="6">
        <f>3183</f>
        <v>3183</v>
      </c>
    </row>
    <row r="584" spans="2:3" ht="18">
      <c r="B584" s="2" t="s">
        <v>462</v>
      </c>
      <c r="C584" s="6">
        <f>2609</f>
        <v>2609</v>
      </c>
    </row>
    <row r="585" spans="2:3" ht="18">
      <c r="B585" s="2" t="s">
        <v>463</v>
      </c>
      <c r="C585" s="6">
        <f>232</f>
        <v>232</v>
      </c>
    </row>
    <row r="586" spans="2:3" ht="18">
      <c r="B586" s="2" t="s">
        <v>396</v>
      </c>
      <c r="C586" s="6">
        <f>118</f>
        <v>118</v>
      </c>
    </row>
    <row r="587" spans="2:3" ht="18">
      <c r="B587" s="2" t="s">
        <v>101</v>
      </c>
      <c r="C587" s="6"/>
    </row>
    <row r="588" spans="2:3" ht="18">
      <c r="B588" s="2" t="s">
        <v>369</v>
      </c>
      <c r="C588" s="6"/>
    </row>
    <row r="589" spans="2:3" ht="18">
      <c r="B589" s="4" t="s">
        <v>78</v>
      </c>
      <c r="C589" s="6">
        <f>1184</f>
        <v>1184</v>
      </c>
    </row>
    <row r="590" spans="2:3" ht="18">
      <c r="B590" s="4" t="s">
        <v>154</v>
      </c>
      <c r="C590" s="6"/>
    </row>
    <row r="591" spans="2:3" ht="18">
      <c r="B591" s="4" t="s">
        <v>464</v>
      </c>
      <c r="C591" s="6">
        <f>63547+58779</f>
        <v>122326</v>
      </c>
    </row>
    <row r="592" spans="2:3" ht="18">
      <c r="B592" s="4" t="s">
        <v>135</v>
      </c>
      <c r="C592" s="6"/>
    </row>
    <row r="593" ht="20.25">
      <c r="B593" s="8"/>
    </row>
    <row r="594" spans="2:3" ht="18">
      <c r="B594" s="2" t="s">
        <v>422</v>
      </c>
      <c r="C594" s="6">
        <f>622+1244+1262+20019+13526+5543+8051</f>
        <v>50267</v>
      </c>
    </row>
    <row r="595" spans="2:3" ht="18">
      <c r="B595" s="2" t="s">
        <v>423</v>
      </c>
      <c r="C595" s="6">
        <f>807+1648+2235</f>
        <v>4690</v>
      </c>
    </row>
    <row r="596" spans="2:3" ht="18">
      <c r="B596" s="2" t="s">
        <v>465</v>
      </c>
      <c r="C596" s="6">
        <f>2869+2869</f>
        <v>5738</v>
      </c>
    </row>
    <row r="597" spans="2:3" ht="18">
      <c r="B597" s="2" t="s">
        <v>466</v>
      </c>
      <c r="C597" s="6">
        <f>719+1054+2357+2402+6575</f>
        <v>13107</v>
      </c>
    </row>
    <row r="598" spans="2:3" ht="18">
      <c r="B598" s="2" t="s">
        <v>467</v>
      </c>
      <c r="C598" s="6">
        <f>1176</f>
        <v>1176</v>
      </c>
    </row>
    <row r="599" spans="2:3" ht="18">
      <c r="B599" s="2" t="s">
        <v>468</v>
      </c>
      <c r="C599" s="6">
        <f>17824+28673</f>
        <v>46497</v>
      </c>
    </row>
    <row r="600" spans="2:3" ht="18">
      <c r="B600" s="2" t="s">
        <v>93</v>
      </c>
      <c r="C600" s="6"/>
    </row>
    <row r="601" spans="2:3" ht="18">
      <c r="B601" s="2" t="s">
        <v>12</v>
      </c>
      <c r="C601" s="6"/>
    </row>
    <row r="602" spans="2:3" ht="18">
      <c r="B602" s="2" t="s">
        <v>120</v>
      </c>
      <c r="C602" s="6">
        <f>35301</f>
        <v>35301</v>
      </c>
    </row>
    <row r="604" spans="2:3" ht="18">
      <c r="B604" s="2" t="s">
        <v>85</v>
      </c>
      <c r="C604" s="6">
        <f>5617+2691+2563+2819+5638</f>
        <v>19328</v>
      </c>
    </row>
    <row r="605" spans="2:3" ht="18">
      <c r="B605" s="2" t="s">
        <v>86</v>
      </c>
      <c r="C605" s="6"/>
    </row>
    <row r="606" spans="2:3" ht="18">
      <c r="B606" s="2" t="s">
        <v>83</v>
      </c>
      <c r="C606" s="6">
        <f>503+68+29+29+19+48+96</f>
        <v>792</v>
      </c>
    </row>
    <row r="607" spans="2:3" ht="18">
      <c r="B607" s="2" t="s">
        <v>84</v>
      </c>
      <c r="C607" s="6">
        <f>1313+1141+2282</f>
        <v>4736</v>
      </c>
    </row>
    <row r="608" spans="2:3" ht="18">
      <c r="B608" s="2" t="s">
        <v>87</v>
      </c>
      <c r="C608" s="6">
        <f>196+1154+245+830+280+187+420</f>
        <v>3312</v>
      </c>
    </row>
    <row r="609" spans="2:3" ht="18">
      <c r="B609" s="2" t="s">
        <v>88</v>
      </c>
      <c r="C609" s="6">
        <f>3213+1071+1010</f>
        <v>5294</v>
      </c>
    </row>
    <row r="610" spans="2:3" ht="18">
      <c r="B610" s="2" t="s">
        <v>95</v>
      </c>
      <c r="C610" s="6">
        <f>1979+420</f>
        <v>2399</v>
      </c>
    </row>
    <row r="611" ht="18">
      <c r="C611" s="7">
        <f>SUM(C581:C609)</f>
        <v>319890</v>
      </c>
    </row>
    <row r="612" spans="1:4" ht="20.25">
      <c r="A612" s="1" t="s">
        <v>224</v>
      </c>
      <c r="B612" s="8" t="s">
        <v>39</v>
      </c>
      <c r="D612" s="7">
        <v>171024.8</v>
      </c>
    </row>
    <row r="613" spans="1:3" ht="18">
      <c r="A613" s="1" t="s">
        <v>227</v>
      </c>
      <c r="B613" s="4" t="s">
        <v>135</v>
      </c>
      <c r="C613" s="6">
        <f>902</f>
        <v>902</v>
      </c>
    </row>
    <row r="614" spans="1:3" ht="18">
      <c r="A614" s="1" t="s">
        <v>228</v>
      </c>
      <c r="B614" s="4" t="s">
        <v>137</v>
      </c>
      <c r="C614" s="6"/>
    </row>
    <row r="615" spans="2:3" ht="18">
      <c r="B615" s="2" t="s">
        <v>147</v>
      </c>
      <c r="C615" s="6"/>
    </row>
    <row r="616" spans="2:3" ht="18">
      <c r="B616" s="4" t="s">
        <v>80</v>
      </c>
      <c r="C616" s="6">
        <f>911+1412</f>
        <v>2323</v>
      </c>
    </row>
    <row r="617" spans="2:3" ht="18">
      <c r="B617" s="4" t="s">
        <v>469</v>
      </c>
      <c r="C617" s="6">
        <f>16719+22243</f>
        <v>38962</v>
      </c>
    </row>
    <row r="618" ht="20.25">
      <c r="B618" s="8"/>
    </row>
    <row r="619" spans="2:3" ht="18">
      <c r="B619" s="2" t="s">
        <v>428</v>
      </c>
      <c r="C619" s="6">
        <f>2765+1589</f>
        <v>4354</v>
      </c>
    </row>
    <row r="620" spans="2:3" ht="18">
      <c r="B620" s="2" t="s">
        <v>470</v>
      </c>
      <c r="C620" s="6">
        <f>2017+1236+1117</f>
        <v>4370</v>
      </c>
    </row>
    <row r="621" spans="2:3" ht="18">
      <c r="B621" s="2" t="s">
        <v>471</v>
      </c>
      <c r="C621" s="6">
        <f>3705+3764</f>
        <v>7469</v>
      </c>
    </row>
    <row r="622" spans="2:3" ht="18">
      <c r="B622" s="2" t="s">
        <v>75</v>
      </c>
      <c r="C622" s="6"/>
    </row>
    <row r="623" spans="2:3" ht="18">
      <c r="B623" s="2" t="s">
        <v>472</v>
      </c>
      <c r="C623" s="6">
        <f>388</f>
        <v>388</v>
      </c>
    </row>
    <row r="624" spans="2:3" ht="18">
      <c r="B624" s="2" t="s">
        <v>93</v>
      </c>
      <c r="C624" s="6">
        <f>9250</f>
        <v>9250</v>
      </c>
    </row>
    <row r="625" spans="2:3" ht="18">
      <c r="B625" s="2" t="s">
        <v>473</v>
      </c>
      <c r="C625" s="6">
        <f>21192+3565+5735</f>
        <v>30492</v>
      </c>
    </row>
    <row r="626" spans="2:3" ht="18">
      <c r="B626" s="2" t="s">
        <v>474</v>
      </c>
      <c r="C626" s="6">
        <f>1079+2713+640+1602</f>
        <v>6034</v>
      </c>
    </row>
    <row r="627" spans="2:3" ht="18">
      <c r="B627" s="2" t="s">
        <v>120</v>
      </c>
      <c r="C627" s="16">
        <v>19334</v>
      </c>
    </row>
    <row r="629" spans="2:3" ht="18">
      <c r="B629" s="2" t="s">
        <v>85</v>
      </c>
      <c r="C629" s="6">
        <f>669+2745+2563</f>
        <v>5977</v>
      </c>
    </row>
    <row r="630" spans="2:3" ht="18">
      <c r="B630" s="2" t="s">
        <v>86</v>
      </c>
      <c r="C630" s="6"/>
    </row>
    <row r="631" spans="2:3" ht="18">
      <c r="B631" s="2" t="s">
        <v>83</v>
      </c>
      <c r="C631" s="6">
        <f>34+34+29</f>
        <v>97</v>
      </c>
    </row>
    <row r="632" spans="2:3" ht="18">
      <c r="B632" s="2" t="s">
        <v>84</v>
      </c>
      <c r="C632" s="6"/>
    </row>
    <row r="633" spans="2:3" ht="18">
      <c r="B633" s="2" t="s">
        <v>87</v>
      </c>
      <c r="C633" s="6">
        <f>189+747+373+560</f>
        <v>1869</v>
      </c>
    </row>
    <row r="634" spans="2:3" ht="18">
      <c r="B634" s="2" t="s">
        <v>88</v>
      </c>
      <c r="C634" s="6"/>
    </row>
    <row r="635" spans="2:3" ht="18">
      <c r="B635" s="2" t="s">
        <v>359</v>
      </c>
      <c r="C635" s="6"/>
    </row>
    <row r="636" ht="18">
      <c r="C636" s="7">
        <f>SUM(C613:C634)</f>
        <v>131821</v>
      </c>
    </row>
    <row r="637" spans="1:4" ht="20.25">
      <c r="A637" s="1" t="s">
        <v>229</v>
      </c>
      <c r="B637" s="8" t="s">
        <v>16</v>
      </c>
      <c r="D637" s="7">
        <v>170960.4</v>
      </c>
    </row>
    <row r="638" spans="1:3" ht="18">
      <c r="A638" s="1" t="s">
        <v>230</v>
      </c>
      <c r="B638" s="2" t="s">
        <v>168</v>
      </c>
      <c r="C638" s="6"/>
    </row>
    <row r="639" spans="1:3" ht="18">
      <c r="A639" s="1" t="s">
        <v>231</v>
      </c>
      <c r="B639" s="2" t="s">
        <v>147</v>
      </c>
      <c r="C639" s="6"/>
    </row>
    <row r="640" spans="2:3" ht="18">
      <c r="B640" s="4" t="s">
        <v>80</v>
      </c>
      <c r="C640" s="6"/>
    </row>
    <row r="641" spans="2:3" ht="18">
      <c r="B641" s="2" t="s">
        <v>475</v>
      </c>
      <c r="C641" s="6">
        <f>4574+5919+4932+7892+2833</f>
        <v>26150</v>
      </c>
    </row>
    <row r="642" spans="2:3" ht="18">
      <c r="B642" s="2" t="s">
        <v>117</v>
      </c>
      <c r="C642" s="6"/>
    </row>
    <row r="643" spans="2:3" ht="18">
      <c r="B643" s="2" t="s">
        <v>301</v>
      </c>
      <c r="C643" s="6"/>
    </row>
    <row r="644" spans="2:3" ht="18">
      <c r="B644" s="2" t="s">
        <v>145</v>
      </c>
      <c r="C644" s="6"/>
    </row>
    <row r="645" spans="2:3" ht="18">
      <c r="B645" s="2" t="s">
        <v>294</v>
      </c>
      <c r="C645" s="6"/>
    </row>
    <row r="646" spans="2:3" ht="18">
      <c r="B646" s="2" t="s">
        <v>288</v>
      </c>
      <c r="C646" s="6"/>
    </row>
    <row r="647" spans="2:3" ht="18">
      <c r="B647" s="2" t="s">
        <v>342</v>
      </c>
      <c r="C647" s="6"/>
    </row>
    <row r="648" spans="2:3" ht="18">
      <c r="B648" s="2" t="s">
        <v>476</v>
      </c>
      <c r="C648" s="6">
        <f>11113</f>
        <v>11113</v>
      </c>
    </row>
    <row r="649" spans="2:3" ht="18">
      <c r="B649" s="2" t="s">
        <v>338</v>
      </c>
      <c r="C649" s="6"/>
    </row>
    <row r="650" spans="2:3" ht="18">
      <c r="B650" s="2" t="s">
        <v>339</v>
      </c>
      <c r="C650" s="6"/>
    </row>
    <row r="651" spans="2:3" ht="18">
      <c r="B651" s="2" t="s">
        <v>477</v>
      </c>
      <c r="C651" s="6">
        <f>8425+885+7680</f>
        <v>16990</v>
      </c>
    </row>
    <row r="652" spans="2:3" ht="18">
      <c r="B652" s="2" t="s">
        <v>96</v>
      </c>
      <c r="C652" s="6"/>
    </row>
    <row r="653" spans="2:3" ht="18">
      <c r="B653" s="4" t="s">
        <v>303</v>
      </c>
      <c r="C653" s="6">
        <f>3489</f>
        <v>3489</v>
      </c>
    </row>
    <row r="654" ht="18">
      <c r="B654" s="4"/>
    </row>
    <row r="655" spans="2:3" ht="18">
      <c r="B655" s="2" t="s">
        <v>478</v>
      </c>
      <c r="C655" s="6">
        <f>2258+3732+1892+7333+952</f>
        <v>16167</v>
      </c>
    </row>
    <row r="656" spans="2:3" ht="18">
      <c r="B656" s="2" t="s">
        <v>397</v>
      </c>
      <c r="C656" s="6">
        <f>6656</f>
        <v>6656</v>
      </c>
    </row>
    <row r="657" spans="2:3" ht="18">
      <c r="B657" s="2" t="s">
        <v>479</v>
      </c>
      <c r="C657" s="6">
        <f>382+573+583</f>
        <v>1538</v>
      </c>
    </row>
    <row r="658" spans="2:3" ht="18">
      <c r="B658" s="2" t="s">
        <v>374</v>
      </c>
      <c r="C658" s="6">
        <f>24756</f>
        <v>24756</v>
      </c>
    </row>
    <row r="659" spans="2:3" ht="18">
      <c r="B659" s="2" t="s">
        <v>69</v>
      </c>
      <c r="C659" s="6"/>
    </row>
    <row r="660" spans="2:3" ht="18">
      <c r="B660" s="2" t="s">
        <v>93</v>
      </c>
      <c r="C660" s="6"/>
    </row>
    <row r="661" spans="2:3" ht="18">
      <c r="B661" s="2" t="s">
        <v>12</v>
      </c>
      <c r="C661" s="6">
        <f>6767+2709+1902</f>
        <v>11378</v>
      </c>
    </row>
    <row r="662" spans="2:3" ht="18">
      <c r="B662" s="2" t="s">
        <v>120</v>
      </c>
      <c r="C662" s="6">
        <f>26014</f>
        <v>26014</v>
      </c>
    </row>
    <row r="664" spans="2:3" ht="18">
      <c r="B664" s="2" t="s">
        <v>85</v>
      </c>
      <c r="C664" s="6">
        <f>2563+5382</f>
        <v>7945</v>
      </c>
    </row>
    <row r="665" spans="2:3" ht="18">
      <c r="B665" s="2" t="s">
        <v>86</v>
      </c>
      <c r="C665" s="6"/>
    </row>
    <row r="666" spans="2:3" ht="18">
      <c r="B666" s="2" t="s">
        <v>83</v>
      </c>
      <c r="C666" s="6">
        <f>96+29+38+57</f>
        <v>220</v>
      </c>
    </row>
    <row r="667" spans="2:3" ht="18">
      <c r="B667" s="2" t="s">
        <v>84</v>
      </c>
      <c r="C667" s="6">
        <f>6565+2282</f>
        <v>8847</v>
      </c>
    </row>
    <row r="668" spans="2:3" ht="18">
      <c r="B668" s="2" t="s">
        <v>87</v>
      </c>
      <c r="C668" s="6">
        <f>735+784+1064+513+866+1100</f>
        <v>5062</v>
      </c>
    </row>
    <row r="669" spans="2:3" ht="18">
      <c r="B669" s="2" t="s">
        <v>88</v>
      </c>
      <c r="C669" s="6">
        <f>1071+4040+2020</f>
        <v>7131</v>
      </c>
    </row>
    <row r="670" spans="2:3" ht="18">
      <c r="B670" s="2" t="s">
        <v>89</v>
      </c>
      <c r="C670" s="6"/>
    </row>
    <row r="671" spans="2:3" ht="18">
      <c r="B671" s="2" t="s">
        <v>95</v>
      </c>
      <c r="C671" s="6">
        <f>5292</f>
        <v>5292</v>
      </c>
    </row>
    <row r="672" ht="18">
      <c r="C672" s="7">
        <f>SUM(C638:C671)</f>
        <v>178748</v>
      </c>
    </row>
    <row r="673" spans="1:4" ht="20.25">
      <c r="A673" s="1" t="s">
        <v>224</v>
      </c>
      <c r="B673" s="8" t="s">
        <v>27</v>
      </c>
      <c r="D673" s="7">
        <v>87697.4</v>
      </c>
    </row>
    <row r="674" spans="1:3" ht="18">
      <c r="A674" s="1" t="s">
        <v>232</v>
      </c>
      <c r="B674" s="4" t="s">
        <v>80</v>
      </c>
      <c r="C674" s="6">
        <f>1316</f>
        <v>1316</v>
      </c>
    </row>
    <row r="675" spans="1:3" ht="18">
      <c r="A675" s="1" t="s">
        <v>233</v>
      </c>
      <c r="B675" s="4" t="s">
        <v>78</v>
      </c>
      <c r="C675" s="6">
        <f>1134</f>
        <v>1134</v>
      </c>
    </row>
    <row r="676" spans="2:3" ht="18">
      <c r="B676" s="4" t="s">
        <v>163</v>
      </c>
      <c r="C676" s="6"/>
    </row>
    <row r="677" spans="2:3" ht="18">
      <c r="B677" s="4" t="s">
        <v>283</v>
      </c>
      <c r="C677" s="6"/>
    </row>
    <row r="678" spans="2:3" ht="18">
      <c r="B678" s="4" t="s">
        <v>151</v>
      </c>
      <c r="C678" s="6"/>
    </row>
    <row r="679" spans="2:3" ht="18">
      <c r="B679" s="4" t="s">
        <v>337</v>
      </c>
      <c r="C679" s="6"/>
    </row>
    <row r="680" spans="2:3" ht="18">
      <c r="B680" s="4" t="s">
        <v>150</v>
      </c>
      <c r="C680" s="6"/>
    </row>
    <row r="681" spans="2:3" ht="18">
      <c r="B681" s="4" t="s">
        <v>303</v>
      </c>
      <c r="C681" s="6"/>
    </row>
    <row r="682" spans="2:3" ht="18">
      <c r="B682" s="2" t="s">
        <v>383</v>
      </c>
      <c r="C682" s="6">
        <v>5672</v>
      </c>
    </row>
    <row r="684" spans="2:3" ht="18">
      <c r="B684" s="2" t="s">
        <v>414</v>
      </c>
      <c r="C684" s="6">
        <f>1262+2364</f>
        <v>3626</v>
      </c>
    </row>
    <row r="685" spans="2:3" ht="18">
      <c r="B685" s="2" t="s">
        <v>64</v>
      </c>
      <c r="C685" s="6"/>
    </row>
    <row r="686" spans="2:3" ht="18">
      <c r="B686" s="2" t="s">
        <v>387</v>
      </c>
      <c r="C686" s="6">
        <f>11634</f>
        <v>11634</v>
      </c>
    </row>
    <row r="687" spans="2:3" ht="18">
      <c r="B687" s="2" t="s">
        <v>12</v>
      </c>
      <c r="C687" s="6"/>
    </row>
    <row r="688" spans="2:3" ht="18">
      <c r="B688" s="2" t="s">
        <v>480</v>
      </c>
      <c r="C688" s="6">
        <f>10596</f>
        <v>10596</v>
      </c>
    </row>
    <row r="689" spans="2:3" ht="18">
      <c r="B689" s="2" t="s">
        <v>391</v>
      </c>
      <c r="C689" s="6">
        <f>3705</f>
        <v>3705</v>
      </c>
    </row>
    <row r="690" spans="2:3" ht="18">
      <c r="B690" s="2" t="s">
        <v>481</v>
      </c>
      <c r="C690" s="6">
        <f>17289</f>
        <v>17289</v>
      </c>
    </row>
    <row r="692" spans="2:3" ht="18">
      <c r="B692" s="2" t="s">
        <v>85</v>
      </c>
      <c r="C692" s="6"/>
    </row>
    <row r="693" spans="2:3" ht="18">
      <c r="B693" s="2" t="s">
        <v>86</v>
      </c>
      <c r="C693" s="6"/>
    </row>
    <row r="694" spans="2:3" ht="18">
      <c r="B694" s="2" t="s">
        <v>83</v>
      </c>
      <c r="C694" s="6">
        <f>223+38+19</f>
        <v>280</v>
      </c>
    </row>
    <row r="695" spans="2:3" ht="18">
      <c r="B695" s="2" t="s">
        <v>84</v>
      </c>
      <c r="C695" s="6">
        <f>2577+2626+1141</f>
        <v>6344</v>
      </c>
    </row>
    <row r="696" spans="2:3" ht="18">
      <c r="B696" s="2" t="s">
        <v>87</v>
      </c>
      <c r="C696" s="6">
        <f>966+1401+1153+607+373+513</f>
        <v>5013</v>
      </c>
    </row>
    <row r="697" spans="2:3" ht="18">
      <c r="B697" s="2" t="s">
        <v>88</v>
      </c>
      <c r="C697" s="6">
        <f>2020+1010+1010</f>
        <v>4040</v>
      </c>
    </row>
    <row r="698" spans="2:3" ht="18">
      <c r="B698" s="2" t="s">
        <v>89</v>
      </c>
      <c r="C698" s="6"/>
    </row>
    <row r="699" ht="18">
      <c r="C699" s="7">
        <f>SUM(C674:C697)</f>
        <v>70649</v>
      </c>
    </row>
    <row r="700" spans="1:4" ht="20.25">
      <c r="A700" s="1" t="s">
        <v>224</v>
      </c>
      <c r="B700" s="8" t="s">
        <v>40</v>
      </c>
      <c r="D700" s="7">
        <v>166151.7</v>
      </c>
    </row>
    <row r="701" spans="1:3" ht="18">
      <c r="A701" s="1" t="s">
        <v>234</v>
      </c>
      <c r="B701" s="2" t="s">
        <v>159</v>
      </c>
      <c r="C701" s="6"/>
    </row>
    <row r="702" spans="1:3" ht="18">
      <c r="A702" s="1" t="s">
        <v>235</v>
      </c>
      <c r="B702" s="4" t="s">
        <v>158</v>
      </c>
      <c r="C702" s="6"/>
    </row>
    <row r="703" spans="2:3" ht="18">
      <c r="B703" s="4" t="s">
        <v>482</v>
      </c>
      <c r="C703" s="6">
        <f>5362</f>
        <v>5362</v>
      </c>
    </row>
    <row r="704" spans="2:3" ht="18">
      <c r="B704" s="2" t="s">
        <v>108</v>
      </c>
      <c r="C704" s="6"/>
    </row>
    <row r="705" spans="2:3" ht="18">
      <c r="B705" s="2" t="s">
        <v>80</v>
      </c>
      <c r="C705" s="6">
        <f>1452+1215</f>
        <v>2667</v>
      </c>
    </row>
    <row r="706" spans="2:3" ht="18">
      <c r="B706" s="2" t="s">
        <v>101</v>
      </c>
      <c r="C706" s="6"/>
    </row>
    <row r="707" spans="2:3" ht="18">
      <c r="B707" s="4" t="s">
        <v>396</v>
      </c>
      <c r="C707" s="6">
        <f>59</f>
        <v>59</v>
      </c>
    </row>
    <row r="708" spans="2:3" ht="18">
      <c r="B708" s="4" t="s">
        <v>440</v>
      </c>
      <c r="C708" s="6">
        <f>1199</f>
        <v>1199</v>
      </c>
    </row>
    <row r="709" spans="2:3" ht="18">
      <c r="B709" s="4" t="s">
        <v>483</v>
      </c>
      <c r="C709" s="6">
        <f>2680</f>
        <v>2680</v>
      </c>
    </row>
    <row r="710" spans="2:3" ht="18">
      <c r="B710" s="2" t="s">
        <v>147</v>
      </c>
      <c r="C710" s="6"/>
    </row>
    <row r="711" spans="2:3" ht="18">
      <c r="B711" s="2" t="s">
        <v>358</v>
      </c>
      <c r="C711" s="6">
        <f>3229</f>
        <v>3229</v>
      </c>
    </row>
    <row r="712" spans="2:3" ht="18">
      <c r="B712" s="2" t="s">
        <v>379</v>
      </c>
      <c r="C712" s="6">
        <f>932+2067+597+919</f>
        <v>4515</v>
      </c>
    </row>
    <row r="713" spans="2:3" ht="18">
      <c r="B713" s="2" t="s">
        <v>484</v>
      </c>
      <c r="C713" s="6">
        <f>5526+7549</f>
        <v>13075</v>
      </c>
    </row>
    <row r="714" spans="2:3" ht="18">
      <c r="B714" s="2" t="s">
        <v>288</v>
      </c>
      <c r="C714" s="6"/>
    </row>
    <row r="715" spans="2:3" ht="18">
      <c r="B715" s="2" t="s">
        <v>301</v>
      </c>
      <c r="C715" s="6">
        <f>1266</f>
        <v>1266</v>
      </c>
    </row>
    <row r="716" spans="2:3" ht="18">
      <c r="B716" s="2" t="s">
        <v>485</v>
      </c>
      <c r="C716" s="6"/>
    </row>
    <row r="717" spans="2:3" ht="18">
      <c r="B717" s="4" t="s">
        <v>135</v>
      </c>
      <c r="C717" s="6"/>
    </row>
    <row r="718" ht="20.25">
      <c r="B718" s="8"/>
    </row>
    <row r="719" spans="2:3" ht="18">
      <c r="B719" s="2" t="s">
        <v>428</v>
      </c>
      <c r="C719" s="6">
        <f>1668+1182</f>
        <v>2850</v>
      </c>
    </row>
    <row r="720" spans="2:3" ht="18">
      <c r="B720" s="2" t="s">
        <v>64</v>
      </c>
      <c r="C720" s="6"/>
    </row>
    <row r="721" spans="2:3" ht="18">
      <c r="B721" s="2" t="s">
        <v>443</v>
      </c>
      <c r="C721" s="6">
        <f>5644+480+1024</f>
        <v>7148</v>
      </c>
    </row>
    <row r="722" spans="2:3" ht="18">
      <c r="B722" s="2" t="s">
        <v>12</v>
      </c>
      <c r="C722" s="6"/>
    </row>
    <row r="723" spans="2:3" ht="18">
      <c r="B723" s="2" t="s">
        <v>72</v>
      </c>
      <c r="C723" s="6"/>
    </row>
    <row r="724" spans="2:3" ht="18">
      <c r="B724" s="2" t="s">
        <v>70</v>
      </c>
      <c r="C724" s="6">
        <f>813</f>
        <v>813</v>
      </c>
    </row>
    <row r="725" spans="2:3" ht="18">
      <c r="B725" s="2" t="s">
        <v>120</v>
      </c>
      <c r="C725" s="6">
        <f>17773</f>
        <v>17773</v>
      </c>
    </row>
    <row r="727" spans="2:3" ht="18">
      <c r="B727" s="2" t="s">
        <v>85</v>
      </c>
      <c r="C727" s="6">
        <f>2563</f>
        <v>2563</v>
      </c>
    </row>
    <row r="728" spans="2:3" ht="18">
      <c r="B728" s="2" t="s">
        <v>86</v>
      </c>
      <c r="C728" s="6"/>
    </row>
    <row r="729" spans="2:3" ht="18">
      <c r="B729" s="2" t="s">
        <v>83</v>
      </c>
      <c r="C729" s="6">
        <f>29</f>
        <v>29</v>
      </c>
    </row>
    <row r="730" spans="2:3" ht="18">
      <c r="B730" s="2" t="s">
        <v>84</v>
      </c>
      <c r="C730" s="6"/>
    </row>
    <row r="731" spans="2:3" ht="18">
      <c r="B731" s="2" t="s">
        <v>87</v>
      </c>
      <c r="C731" s="6">
        <f>392</f>
        <v>392</v>
      </c>
    </row>
    <row r="732" spans="2:3" ht="18">
      <c r="B732" s="2" t="s">
        <v>88</v>
      </c>
      <c r="C732" s="6"/>
    </row>
    <row r="733" spans="2:3" ht="18">
      <c r="B733" s="2" t="s">
        <v>95</v>
      </c>
      <c r="C733" s="6"/>
    </row>
    <row r="734" spans="2:3" ht="18">
      <c r="B734" s="2" t="s">
        <v>89</v>
      </c>
      <c r="C734" s="6"/>
    </row>
    <row r="735" ht="18">
      <c r="C735" s="7">
        <f>SUM(C701:C732)</f>
        <v>65620</v>
      </c>
    </row>
    <row r="736" spans="1:4" ht="20.25">
      <c r="A736" s="1" t="s">
        <v>236</v>
      </c>
      <c r="B736" s="8" t="s">
        <v>299</v>
      </c>
      <c r="D736" s="7">
        <v>328489.2</v>
      </c>
    </row>
    <row r="737" spans="1:3" ht="18">
      <c r="A737" s="1" t="s">
        <v>237</v>
      </c>
      <c r="B737" s="4" t="s">
        <v>158</v>
      </c>
      <c r="C737" s="6"/>
    </row>
    <row r="738" spans="1:3" ht="18">
      <c r="A738" s="1" t="s">
        <v>238</v>
      </c>
      <c r="B738" s="4" t="s">
        <v>335</v>
      </c>
      <c r="C738" s="6"/>
    </row>
    <row r="739" spans="2:3" ht="18">
      <c r="B739" s="4" t="s">
        <v>147</v>
      </c>
      <c r="C739" s="6"/>
    </row>
    <row r="740" spans="2:3" ht="18">
      <c r="B740" s="4" t="s">
        <v>369</v>
      </c>
      <c r="C740" s="6"/>
    </row>
    <row r="741" spans="2:3" ht="18">
      <c r="B741" s="2" t="s">
        <v>80</v>
      </c>
      <c r="C741" s="6"/>
    </row>
    <row r="742" spans="2:3" ht="18">
      <c r="B742" s="2" t="s">
        <v>341</v>
      </c>
      <c r="C742" s="6">
        <f>3402</f>
        <v>3402</v>
      </c>
    </row>
    <row r="743" spans="2:3" ht="18">
      <c r="B743" s="2" t="s">
        <v>375</v>
      </c>
      <c r="C743" s="6">
        <f>767</f>
        <v>767</v>
      </c>
    </row>
    <row r="744" spans="2:3" ht="18">
      <c r="B744" s="2" t="s">
        <v>290</v>
      </c>
      <c r="C744" s="6"/>
    </row>
    <row r="745" spans="2:3" ht="18">
      <c r="B745" s="2" t="s">
        <v>486</v>
      </c>
      <c r="C745" s="6"/>
    </row>
    <row r="746" spans="2:3" ht="18">
      <c r="B746" s="2" t="s">
        <v>114</v>
      </c>
      <c r="C746" s="6"/>
    </row>
    <row r="747" spans="2:3" ht="18">
      <c r="B747" s="4" t="s">
        <v>60</v>
      </c>
      <c r="C747" s="6"/>
    </row>
    <row r="748" ht="18">
      <c r="B748" s="4"/>
    </row>
    <row r="749" spans="2:3" ht="18">
      <c r="B749" s="2" t="s">
        <v>487</v>
      </c>
      <c r="C749" s="6">
        <f>1244+29630+13526+2955</f>
        <v>47355</v>
      </c>
    </row>
    <row r="750" spans="2:3" ht="18">
      <c r="B750" s="2" t="s">
        <v>488</v>
      </c>
      <c r="C750" s="6">
        <f>1614+2473+6788</f>
        <v>10875</v>
      </c>
    </row>
    <row r="751" spans="2:3" ht="18">
      <c r="B751" s="2" t="s">
        <v>489</v>
      </c>
      <c r="C751" s="6">
        <f>17838</f>
        <v>17838</v>
      </c>
    </row>
    <row r="752" spans="2:3" ht="18">
      <c r="B752" s="2" t="s">
        <v>490</v>
      </c>
      <c r="C752" s="6">
        <f>191+1243</f>
        <v>1434</v>
      </c>
    </row>
    <row r="753" spans="2:3" ht="18">
      <c r="B753" s="2" t="s">
        <v>491</v>
      </c>
      <c r="C753" s="6">
        <f>2745+731</f>
        <v>3476</v>
      </c>
    </row>
    <row r="754" spans="2:3" ht="18">
      <c r="B754" s="2" t="s">
        <v>93</v>
      </c>
      <c r="C754" s="6"/>
    </row>
    <row r="755" spans="2:3" ht="18">
      <c r="B755" s="2" t="s">
        <v>12</v>
      </c>
      <c r="C755" s="6"/>
    </row>
    <row r="756" spans="2:3" ht="18">
      <c r="B756" s="2" t="s">
        <v>492</v>
      </c>
      <c r="C756" s="6">
        <f>17362+23165+1405+4891+640+1365</f>
        <v>48828</v>
      </c>
    </row>
    <row r="757" spans="2:3" ht="18">
      <c r="B757" s="2" t="s">
        <v>120</v>
      </c>
      <c r="C757" s="6">
        <f>44314</f>
        <v>44314</v>
      </c>
    </row>
    <row r="759" spans="2:3" ht="18">
      <c r="B759" s="2" t="s">
        <v>85</v>
      </c>
      <c r="C759" s="6">
        <f>2745+2436+2563</f>
        <v>7744</v>
      </c>
    </row>
    <row r="760" spans="2:3" ht="18">
      <c r="B760" s="2" t="s">
        <v>86</v>
      </c>
      <c r="C760" s="6"/>
    </row>
    <row r="761" spans="2:3" ht="18">
      <c r="B761" s="2" t="s">
        <v>83</v>
      </c>
      <c r="C761" s="6">
        <f>34+29+19+29</f>
        <v>111</v>
      </c>
    </row>
    <row r="762" spans="2:3" ht="18">
      <c r="B762" s="2" t="s">
        <v>84</v>
      </c>
      <c r="C762" s="6">
        <f>1313</f>
        <v>1313</v>
      </c>
    </row>
    <row r="763" spans="2:3" ht="18">
      <c r="B763" s="2" t="s">
        <v>87</v>
      </c>
      <c r="C763" s="6">
        <f>196+196+467+187</f>
        <v>1046</v>
      </c>
    </row>
    <row r="764" spans="2:3" ht="18">
      <c r="B764" s="2" t="s">
        <v>88</v>
      </c>
      <c r="C764" s="6">
        <f>1010</f>
        <v>1010</v>
      </c>
    </row>
    <row r="765" spans="2:3" ht="18">
      <c r="B765" s="2" t="s">
        <v>95</v>
      </c>
      <c r="C765" s="6"/>
    </row>
    <row r="766" spans="2:3" ht="18">
      <c r="B766" s="2" t="s">
        <v>89</v>
      </c>
      <c r="C766" s="6"/>
    </row>
    <row r="767" ht="18">
      <c r="C767" s="7">
        <f>SUM(C737:C766)</f>
        <v>189513</v>
      </c>
    </row>
    <row r="768" spans="1:4" ht="20.25">
      <c r="A768" s="1" t="s">
        <v>224</v>
      </c>
      <c r="B768" s="8" t="s">
        <v>5</v>
      </c>
      <c r="D768" s="7">
        <v>384982.7</v>
      </c>
    </row>
    <row r="769" spans="1:3" ht="18">
      <c r="A769" s="1" t="s">
        <v>239</v>
      </c>
      <c r="B769" s="2" t="s">
        <v>159</v>
      </c>
      <c r="C769" s="6"/>
    </row>
    <row r="770" spans="1:3" ht="18">
      <c r="A770" s="1" t="s">
        <v>240</v>
      </c>
      <c r="B770" s="2" t="s">
        <v>321</v>
      </c>
      <c r="C770" s="6"/>
    </row>
    <row r="771" spans="2:3" ht="18">
      <c r="B771" s="2" t="s">
        <v>164</v>
      </c>
      <c r="C771" s="6"/>
    </row>
    <row r="772" spans="2:3" ht="18">
      <c r="B772" s="2" t="s">
        <v>493</v>
      </c>
      <c r="C772" s="6">
        <f>107068</f>
        <v>107068</v>
      </c>
    </row>
    <row r="773" spans="2:3" ht="18">
      <c r="B773" s="2" t="s">
        <v>78</v>
      </c>
      <c r="C773" s="6">
        <f>1133</f>
        <v>1133</v>
      </c>
    </row>
    <row r="774" spans="2:3" ht="18">
      <c r="B774" s="2" t="s">
        <v>494</v>
      </c>
      <c r="C774" s="6">
        <f>2305</f>
        <v>2305</v>
      </c>
    </row>
    <row r="775" spans="2:3" ht="18">
      <c r="B775" s="2" t="s">
        <v>309</v>
      </c>
      <c r="C775" s="6"/>
    </row>
    <row r="776" spans="2:3" ht="18">
      <c r="B776" s="2" t="s">
        <v>108</v>
      </c>
      <c r="C776" s="6">
        <f>1058</f>
        <v>1058</v>
      </c>
    </row>
    <row r="777" spans="2:3" ht="18">
      <c r="B777" s="2" t="s">
        <v>370</v>
      </c>
      <c r="C777" s="6"/>
    </row>
    <row r="778" spans="2:3" ht="18">
      <c r="B778" s="2" t="s">
        <v>484</v>
      </c>
      <c r="C778" s="6">
        <f>5849+12581</f>
        <v>18430</v>
      </c>
    </row>
    <row r="779" spans="2:3" ht="18">
      <c r="B779" s="2" t="s">
        <v>80</v>
      </c>
      <c r="C779" s="6">
        <f>2642+1013+1412+1244+251</f>
        <v>6562</v>
      </c>
    </row>
    <row r="780" spans="2:3" ht="18">
      <c r="B780" s="4" t="s">
        <v>357</v>
      </c>
      <c r="C780" s="6"/>
    </row>
    <row r="781" spans="2:3" ht="18">
      <c r="B781" s="2" t="s">
        <v>135</v>
      </c>
      <c r="C781" s="6">
        <f>331</f>
        <v>331</v>
      </c>
    </row>
    <row r="783" spans="2:3" ht="18">
      <c r="B783" s="2" t="s">
        <v>428</v>
      </c>
      <c r="C783" s="6">
        <f>1031+1182</f>
        <v>2213</v>
      </c>
    </row>
    <row r="784" spans="2:3" ht="18">
      <c r="B784" s="2" t="s">
        <v>495</v>
      </c>
      <c r="C784" s="6">
        <f>807+807+824+5959</f>
        <v>8397</v>
      </c>
    </row>
    <row r="785" spans="2:3" ht="18">
      <c r="B785" s="2" t="s">
        <v>92</v>
      </c>
      <c r="C785" s="6">
        <f>1194</f>
        <v>1194</v>
      </c>
    </row>
    <row r="786" spans="2:3" ht="18">
      <c r="B786" s="2" t="s">
        <v>496</v>
      </c>
      <c r="C786" s="6">
        <f>2472</f>
        <v>2472</v>
      </c>
    </row>
    <row r="787" spans="2:3" ht="18">
      <c r="B787" s="2" t="s">
        <v>12</v>
      </c>
      <c r="C787" s="6">
        <f>6303</f>
        <v>6303</v>
      </c>
    </row>
    <row r="788" spans="2:3" ht="18">
      <c r="B788" s="2" t="s">
        <v>429</v>
      </c>
      <c r="C788" s="6">
        <f>11911+1054+4011+2357+640+1365+640+1365</f>
        <v>23343</v>
      </c>
    </row>
    <row r="789" spans="2:3" ht="18">
      <c r="B789" s="2" t="s">
        <v>497</v>
      </c>
      <c r="C789" s="6">
        <f>2202</f>
        <v>2202</v>
      </c>
    </row>
    <row r="790" spans="2:3" ht="18">
      <c r="B790" s="2" t="s">
        <v>142</v>
      </c>
      <c r="C790" s="6"/>
    </row>
    <row r="791" spans="2:3" ht="18">
      <c r="B791" s="2" t="s">
        <v>120</v>
      </c>
      <c r="C791" s="6">
        <f>37545</f>
        <v>37545</v>
      </c>
    </row>
    <row r="793" spans="2:3" ht="18">
      <c r="B793" s="2" t="s">
        <v>85</v>
      </c>
      <c r="C793" s="6">
        <f>6001+2873+5127+5382+7818+55140</f>
        <v>82341</v>
      </c>
    </row>
    <row r="794" spans="2:3" ht="18">
      <c r="B794" s="2" t="s">
        <v>86</v>
      </c>
      <c r="C794" s="6"/>
    </row>
    <row r="795" spans="2:3" ht="18">
      <c r="B795" s="2" t="s">
        <v>83</v>
      </c>
      <c r="C795" s="6">
        <f>113+34+57+77+86+77</f>
        <v>444</v>
      </c>
    </row>
    <row r="796" spans="2:3" ht="18">
      <c r="B796" s="2" t="s">
        <v>131</v>
      </c>
      <c r="C796" s="6">
        <f>2577+1313+1141</f>
        <v>5031</v>
      </c>
    </row>
    <row r="797" spans="2:3" ht="18">
      <c r="B797" s="2" t="s">
        <v>87</v>
      </c>
      <c r="C797" s="6">
        <f>196+581+280+607+392+607</f>
        <v>2663</v>
      </c>
    </row>
    <row r="798" spans="2:3" ht="18">
      <c r="B798" s="2" t="s">
        <v>88</v>
      </c>
      <c r="C798" s="6">
        <f>2020</f>
        <v>2020</v>
      </c>
    </row>
    <row r="799" spans="2:3" ht="18">
      <c r="B799" s="2" t="s">
        <v>89</v>
      </c>
      <c r="C799" s="6"/>
    </row>
    <row r="800" spans="2:3" ht="18">
      <c r="B800" s="2" t="s">
        <v>95</v>
      </c>
      <c r="C800" s="6">
        <f>1476</f>
        <v>1476</v>
      </c>
    </row>
    <row r="801" ht="18">
      <c r="C801" s="7">
        <f>SUM(C769:C800)</f>
        <v>314531</v>
      </c>
    </row>
    <row r="802" spans="1:4" ht="20.25">
      <c r="A802" s="1" t="s">
        <v>224</v>
      </c>
      <c r="B802" s="8" t="s">
        <v>41</v>
      </c>
      <c r="D802" s="7">
        <v>168433.2</v>
      </c>
    </row>
    <row r="803" spans="1:3" ht="18">
      <c r="A803" s="1" t="s">
        <v>241</v>
      </c>
      <c r="B803" s="2" t="s">
        <v>160</v>
      </c>
      <c r="C803" s="6"/>
    </row>
    <row r="804" spans="1:3" ht="18">
      <c r="A804" s="1" t="s">
        <v>242</v>
      </c>
      <c r="B804" s="2" t="s">
        <v>135</v>
      </c>
      <c r="C804" s="6"/>
    </row>
    <row r="805" spans="2:3" ht="18">
      <c r="B805" s="2" t="s">
        <v>147</v>
      </c>
      <c r="C805" s="6"/>
    </row>
    <row r="806" spans="2:3" ht="18">
      <c r="B806" s="2" t="s">
        <v>78</v>
      </c>
      <c r="C806" s="6">
        <f>1133</f>
        <v>1133</v>
      </c>
    </row>
    <row r="807" spans="2:3" ht="18">
      <c r="B807" s="2" t="s">
        <v>108</v>
      </c>
      <c r="C807" s="6"/>
    </row>
    <row r="808" spans="2:3" ht="18">
      <c r="B808" s="2" t="s">
        <v>498</v>
      </c>
      <c r="C808" s="6"/>
    </row>
    <row r="809" spans="2:3" ht="18">
      <c r="B809" s="4" t="s">
        <v>396</v>
      </c>
      <c r="C809" s="6">
        <f>59</f>
        <v>59</v>
      </c>
    </row>
    <row r="810" spans="2:3" ht="18">
      <c r="B810" s="2" t="s">
        <v>164</v>
      </c>
      <c r="C810" s="6">
        <f>1565</f>
        <v>1565</v>
      </c>
    </row>
    <row r="811" spans="2:3" ht="18">
      <c r="B811" s="2" t="s">
        <v>499</v>
      </c>
      <c r="C811" s="6">
        <f>100585+99908</f>
        <v>200493</v>
      </c>
    </row>
    <row r="812" spans="2:3" ht="18">
      <c r="B812" s="2" t="s">
        <v>379</v>
      </c>
      <c r="C812" s="6">
        <f>934</f>
        <v>934</v>
      </c>
    </row>
    <row r="813" spans="2:3" ht="18">
      <c r="B813" s="2" t="s">
        <v>366</v>
      </c>
      <c r="C813" s="6"/>
    </row>
    <row r="814" spans="2:3" ht="18">
      <c r="B814" s="2" t="s">
        <v>80</v>
      </c>
      <c r="C814" s="6">
        <f>1299</f>
        <v>1299</v>
      </c>
    </row>
    <row r="816" spans="2:3" ht="18">
      <c r="B816" s="2" t="s">
        <v>390</v>
      </c>
      <c r="C816" s="6">
        <f>2933</f>
        <v>2933</v>
      </c>
    </row>
    <row r="817" spans="2:3" ht="18">
      <c r="B817" s="2" t="s">
        <v>400</v>
      </c>
      <c r="C817" s="6">
        <f>807</f>
        <v>807</v>
      </c>
    </row>
    <row r="818" spans="2:3" ht="18">
      <c r="B818" s="2" t="s">
        <v>362</v>
      </c>
      <c r="C818" s="6">
        <f>961+2285</f>
        <v>3246</v>
      </c>
    </row>
    <row r="819" spans="2:3" ht="18">
      <c r="B819" s="2" t="s">
        <v>497</v>
      </c>
      <c r="C819" s="6">
        <f>2202</f>
        <v>2202</v>
      </c>
    </row>
    <row r="820" spans="2:3" ht="18">
      <c r="B820" s="2" t="s">
        <v>145</v>
      </c>
      <c r="C820" s="6"/>
    </row>
    <row r="821" spans="2:3" ht="18">
      <c r="B821" s="2" t="s">
        <v>93</v>
      </c>
      <c r="C821" s="6"/>
    </row>
    <row r="822" spans="2:3" ht="18">
      <c r="B822" s="2" t="s">
        <v>120</v>
      </c>
      <c r="C822" s="6">
        <f>17478</f>
        <v>17478</v>
      </c>
    </row>
    <row r="824" spans="2:3" ht="18">
      <c r="B824" s="2" t="s">
        <v>85</v>
      </c>
      <c r="C824" s="6">
        <f>2745+2563+2819+5127</f>
        <v>13254</v>
      </c>
    </row>
    <row r="825" spans="2:3" ht="18">
      <c r="B825" s="2" t="s">
        <v>86</v>
      </c>
      <c r="C825" s="6"/>
    </row>
    <row r="826" spans="2:3" ht="18">
      <c r="B826" s="2" t="s">
        <v>83</v>
      </c>
      <c r="C826" s="6">
        <f>167+23+34+19+29+48+57</f>
        <v>377</v>
      </c>
    </row>
    <row r="827" spans="2:3" ht="18">
      <c r="B827" s="2" t="s">
        <v>84</v>
      </c>
      <c r="C827" s="6">
        <f>2873+1288+1313+1313</f>
        <v>6787</v>
      </c>
    </row>
    <row r="828" spans="2:3" ht="18">
      <c r="B828" s="2" t="s">
        <v>87</v>
      </c>
      <c r="C828" s="6">
        <f>392+588+560+233+773+233+373</f>
        <v>3152</v>
      </c>
    </row>
    <row r="829" spans="2:3" ht="18">
      <c r="B829" s="2" t="s">
        <v>88</v>
      </c>
      <c r="C829" s="6">
        <f>1071+1010</f>
        <v>2081</v>
      </c>
    </row>
    <row r="830" spans="2:3" ht="18">
      <c r="B830" s="2" t="s">
        <v>89</v>
      </c>
      <c r="C830" s="6"/>
    </row>
    <row r="831" ht="18">
      <c r="C831" s="7">
        <f>SUM(C803:C828)</f>
        <v>255719</v>
      </c>
    </row>
    <row r="832" spans="1:4" ht="20.25">
      <c r="A832" s="1" t="s">
        <v>183</v>
      </c>
      <c r="B832" s="8" t="s">
        <v>28</v>
      </c>
      <c r="D832" s="7">
        <v>55136.3</v>
      </c>
    </row>
    <row r="833" spans="1:3" ht="18">
      <c r="A833" s="1" t="s">
        <v>243</v>
      </c>
      <c r="B833" s="2" t="s">
        <v>80</v>
      </c>
      <c r="C833" s="6">
        <f>1316</f>
        <v>1316</v>
      </c>
    </row>
    <row r="834" spans="1:3" ht="18">
      <c r="A834" s="1" t="s">
        <v>244</v>
      </c>
      <c r="B834" s="2" t="s">
        <v>164</v>
      </c>
      <c r="C834" s="6"/>
    </row>
    <row r="835" spans="2:3" ht="18">
      <c r="B835" s="2" t="s">
        <v>283</v>
      </c>
      <c r="C835" s="6"/>
    </row>
    <row r="836" spans="2:3" ht="18">
      <c r="B836" s="2" t="s">
        <v>62</v>
      </c>
      <c r="C836" s="6">
        <f>1480</f>
        <v>1480</v>
      </c>
    </row>
    <row r="837" spans="2:3" ht="18">
      <c r="B837" s="2" t="s">
        <v>331</v>
      </c>
      <c r="C837" s="6"/>
    </row>
    <row r="838" spans="2:3" ht="18">
      <c r="B838" s="2" t="s">
        <v>500</v>
      </c>
      <c r="C838" s="6"/>
    </row>
    <row r="839" spans="2:3" ht="18">
      <c r="B839" s="2" t="s">
        <v>378</v>
      </c>
      <c r="C839" s="6">
        <f>2152</f>
        <v>2152</v>
      </c>
    </row>
    <row r="840" spans="2:3" ht="18">
      <c r="B840" s="2" t="s">
        <v>356</v>
      </c>
      <c r="C840" s="6"/>
    </row>
    <row r="841" spans="2:3" ht="18">
      <c r="B841" s="4" t="s">
        <v>303</v>
      </c>
      <c r="C841" s="6"/>
    </row>
    <row r="842" ht="18">
      <c r="B842" s="4"/>
    </row>
    <row r="843" spans="2:3" ht="18">
      <c r="B843" s="2" t="s">
        <v>501</v>
      </c>
      <c r="C843" s="6">
        <f>4977+1892</f>
        <v>6869</v>
      </c>
    </row>
    <row r="844" spans="2:3" ht="18">
      <c r="B844" s="2" t="s">
        <v>502</v>
      </c>
      <c r="C844" s="6">
        <f>412</f>
        <v>412</v>
      </c>
    </row>
    <row r="845" spans="2:3" ht="18">
      <c r="B845" s="2" t="s">
        <v>69</v>
      </c>
      <c r="C845" s="6"/>
    </row>
    <row r="846" spans="2:3" ht="18">
      <c r="B846" s="2" t="s">
        <v>503</v>
      </c>
      <c r="C846" s="6">
        <f>6504+11636</f>
        <v>18140</v>
      </c>
    </row>
    <row r="847" spans="2:3" ht="18">
      <c r="B847" s="2" t="s">
        <v>504</v>
      </c>
      <c r="C847" s="6">
        <f>2292</f>
        <v>2292</v>
      </c>
    </row>
    <row r="848" spans="2:3" ht="18">
      <c r="B848" s="2" t="s">
        <v>93</v>
      </c>
      <c r="C848" s="6"/>
    </row>
    <row r="849" spans="2:3" ht="18">
      <c r="B849" s="2" t="s">
        <v>120</v>
      </c>
      <c r="C849" s="6">
        <f>16943</f>
        <v>16943</v>
      </c>
    </row>
    <row r="851" spans="2:3" ht="18">
      <c r="B851" s="2" t="s">
        <v>85</v>
      </c>
      <c r="C851" s="6"/>
    </row>
    <row r="852" spans="2:3" ht="18">
      <c r="B852" s="2" t="s">
        <v>86</v>
      </c>
      <c r="C852" s="6"/>
    </row>
    <row r="853" spans="2:3" ht="18">
      <c r="B853" s="2" t="s">
        <v>83</v>
      </c>
      <c r="C853" s="6">
        <f>19+19</f>
        <v>38</v>
      </c>
    </row>
    <row r="854" spans="2:3" ht="18">
      <c r="B854" s="2" t="s">
        <v>84</v>
      </c>
      <c r="C854" s="6">
        <f>1313+1141</f>
        <v>2454</v>
      </c>
    </row>
    <row r="855" spans="2:3" ht="18">
      <c r="B855" s="2" t="s">
        <v>87</v>
      </c>
      <c r="C855" s="6">
        <f>187+233</f>
        <v>420</v>
      </c>
    </row>
    <row r="856" spans="2:3" ht="18">
      <c r="B856" s="2" t="s">
        <v>88</v>
      </c>
      <c r="C856" s="6">
        <f>2020+505</f>
        <v>2525</v>
      </c>
    </row>
    <row r="857" spans="2:3" ht="18">
      <c r="B857" s="2" t="s">
        <v>89</v>
      </c>
      <c r="C857" s="6"/>
    </row>
    <row r="858" ht="18">
      <c r="C858" s="7">
        <f>SUM(C836:C853)</f>
        <v>48326</v>
      </c>
    </row>
    <row r="859" spans="1:4" ht="20.25">
      <c r="A859" s="1" t="s">
        <v>208</v>
      </c>
      <c r="B859" s="8" t="s">
        <v>1</v>
      </c>
      <c r="D859" s="14">
        <v>252176</v>
      </c>
    </row>
    <row r="860" spans="1:3" ht="18">
      <c r="A860" s="1" t="s">
        <v>245</v>
      </c>
      <c r="B860" s="2" t="s">
        <v>371</v>
      </c>
      <c r="C860" s="6"/>
    </row>
    <row r="861" spans="1:3" ht="18">
      <c r="A861" s="1" t="s">
        <v>246</v>
      </c>
      <c r="B861" s="2" t="s">
        <v>159</v>
      </c>
      <c r="C861" s="6"/>
    </row>
    <row r="862" spans="2:3" ht="18">
      <c r="B862" s="2" t="s">
        <v>164</v>
      </c>
      <c r="C862" s="6"/>
    </row>
    <row r="863" spans="2:3" ht="18">
      <c r="B863" s="2" t="s">
        <v>158</v>
      </c>
      <c r="C863" s="6"/>
    </row>
    <row r="864" spans="2:3" ht="18">
      <c r="B864" s="2" t="s">
        <v>505</v>
      </c>
      <c r="C864" s="6">
        <f>12756</f>
        <v>12756</v>
      </c>
    </row>
    <row r="865" spans="2:3" ht="18">
      <c r="B865" s="2" t="s">
        <v>80</v>
      </c>
      <c r="C865" s="6">
        <f>1412</f>
        <v>1412</v>
      </c>
    </row>
    <row r="866" spans="2:3" ht="18">
      <c r="B866" s="4" t="s">
        <v>440</v>
      </c>
      <c r="C866" s="6">
        <f>3599</f>
        <v>3599</v>
      </c>
    </row>
    <row r="867" spans="2:3" ht="18">
      <c r="B867" s="2" t="s">
        <v>135</v>
      </c>
      <c r="C867" s="6"/>
    </row>
    <row r="868" spans="2:3" ht="18">
      <c r="B868" s="2" t="s">
        <v>506</v>
      </c>
      <c r="C868" s="6"/>
    </row>
    <row r="869" spans="2:3" ht="18">
      <c r="B869" s="2" t="s">
        <v>396</v>
      </c>
      <c r="C869" s="6">
        <f>206</f>
        <v>206</v>
      </c>
    </row>
    <row r="870" spans="2:3" ht="18">
      <c r="B870" s="2" t="s">
        <v>117</v>
      </c>
      <c r="C870" s="6"/>
    </row>
    <row r="871" spans="2:3" ht="18">
      <c r="B871" s="2" t="s">
        <v>344</v>
      </c>
      <c r="C871" s="6">
        <f>6214</f>
        <v>6214</v>
      </c>
    </row>
    <row r="872" spans="2:3" ht="18">
      <c r="B872" s="2" t="s">
        <v>127</v>
      </c>
      <c r="C872" s="6"/>
    </row>
    <row r="873" spans="2:3" ht="18">
      <c r="B873" s="2" t="s">
        <v>107</v>
      </c>
      <c r="C873" s="6"/>
    </row>
    <row r="874" spans="2:3" ht="18">
      <c r="B874" s="2" t="s">
        <v>384</v>
      </c>
      <c r="C874" s="6">
        <f>1087</f>
        <v>1087</v>
      </c>
    </row>
    <row r="875" spans="2:3" ht="18">
      <c r="B875" s="2" t="s">
        <v>147</v>
      </c>
      <c r="C875" s="6"/>
    </row>
    <row r="877" spans="2:3" ht="18">
      <c r="B877" s="2" t="s">
        <v>507</v>
      </c>
      <c r="C877" s="6">
        <f>1244+1244+631+2523</f>
        <v>5642</v>
      </c>
    </row>
    <row r="878" spans="2:3" ht="18">
      <c r="B878" s="2" t="s">
        <v>508</v>
      </c>
      <c r="C878" s="6">
        <f>807+824+9489</f>
        <v>11120</v>
      </c>
    </row>
    <row r="879" spans="2:3" ht="18">
      <c r="B879" s="2" t="s">
        <v>93</v>
      </c>
      <c r="C879" s="6"/>
    </row>
    <row r="880" spans="2:3" ht="18">
      <c r="B880" s="2" t="s">
        <v>141</v>
      </c>
      <c r="C880" s="6"/>
    </row>
    <row r="881" spans="2:3" ht="18">
      <c r="B881" s="2" t="s">
        <v>71</v>
      </c>
      <c r="C881" s="6"/>
    </row>
    <row r="882" spans="2:3" ht="18">
      <c r="B882" s="2" t="s">
        <v>105</v>
      </c>
      <c r="C882" s="6"/>
    </row>
    <row r="883" spans="2:3" ht="18">
      <c r="B883" s="2" t="s">
        <v>120</v>
      </c>
      <c r="C883" s="6">
        <f>29274</f>
        <v>29274</v>
      </c>
    </row>
    <row r="885" spans="2:3" ht="18">
      <c r="B885" s="2" t="s">
        <v>85</v>
      </c>
      <c r="C885" s="6">
        <f>2873+3000+5510+2563+6149</f>
        <v>20095</v>
      </c>
    </row>
    <row r="886" spans="2:3" ht="18">
      <c r="B886" s="2" t="s">
        <v>86</v>
      </c>
      <c r="C886" s="6"/>
    </row>
    <row r="887" spans="2:3" ht="18">
      <c r="B887" s="2" t="s">
        <v>83</v>
      </c>
      <c r="C887" s="6">
        <f>34+34+96+29+38+153</f>
        <v>384</v>
      </c>
    </row>
    <row r="888" spans="2:3" ht="18">
      <c r="B888" s="2" t="s">
        <v>84</v>
      </c>
      <c r="C888" s="6">
        <f>2626+2282+5706</f>
        <v>10614</v>
      </c>
    </row>
    <row r="889" spans="2:3" ht="18">
      <c r="B889" s="2" t="s">
        <v>87</v>
      </c>
      <c r="C889" s="6">
        <f>735+588+363+802</f>
        <v>2488</v>
      </c>
    </row>
    <row r="890" spans="2:3" ht="18">
      <c r="B890" s="2" t="s">
        <v>88</v>
      </c>
      <c r="C890" s="6">
        <f>2020</f>
        <v>2020</v>
      </c>
    </row>
    <row r="891" spans="2:3" ht="18">
      <c r="B891" s="2" t="s">
        <v>95</v>
      </c>
      <c r="C891" s="6"/>
    </row>
    <row r="892" spans="2:3" ht="18">
      <c r="B892" s="2" t="s">
        <v>89</v>
      </c>
      <c r="C892" s="6"/>
    </row>
    <row r="893" ht="18">
      <c r="C893" s="7">
        <f>SUM(C860:C890)</f>
        <v>106911</v>
      </c>
    </row>
    <row r="894" spans="1:4" ht="20.25">
      <c r="A894" s="1" t="s">
        <v>208</v>
      </c>
      <c r="B894" s="8" t="s">
        <v>14</v>
      </c>
      <c r="D894" s="7">
        <v>127205.6</v>
      </c>
    </row>
    <row r="895" spans="1:3" ht="18">
      <c r="A895" s="1" t="s">
        <v>247</v>
      </c>
      <c r="B895" s="4" t="s">
        <v>158</v>
      </c>
      <c r="C895" s="6"/>
    </row>
    <row r="896" spans="1:3" ht="18">
      <c r="A896" s="1" t="s">
        <v>248</v>
      </c>
      <c r="B896" s="4" t="s">
        <v>303</v>
      </c>
      <c r="C896" s="6"/>
    </row>
    <row r="897" spans="2:3" ht="18">
      <c r="B897" s="4" t="s">
        <v>509</v>
      </c>
      <c r="C897" s="2">
        <f>8777+9503+9582</f>
        <v>27862</v>
      </c>
    </row>
    <row r="898" spans="1:2" ht="18">
      <c r="A898" s="2"/>
      <c r="B898" s="11"/>
    </row>
    <row r="899" spans="2:3" ht="18">
      <c r="B899" s="2" t="s">
        <v>405</v>
      </c>
      <c r="C899" s="6">
        <f>1244+631+1182</f>
        <v>3057</v>
      </c>
    </row>
    <row r="900" spans="2:3" ht="18">
      <c r="B900" s="2" t="s">
        <v>389</v>
      </c>
      <c r="C900" s="6">
        <f>1236</f>
        <v>1236</v>
      </c>
    </row>
    <row r="901" spans="2:3" ht="18">
      <c r="B901" s="2" t="s">
        <v>510</v>
      </c>
      <c r="C901" s="6">
        <f>1627+848+1850</f>
        <v>4325</v>
      </c>
    </row>
    <row r="902" spans="2:3" ht="18">
      <c r="B902" s="2" t="s">
        <v>511</v>
      </c>
      <c r="C902" s="6">
        <f>4404+717</f>
        <v>5121</v>
      </c>
    </row>
    <row r="903" spans="2:3" ht="18">
      <c r="B903" s="2" t="s">
        <v>140</v>
      </c>
      <c r="C903" s="6"/>
    </row>
    <row r="904" spans="2:3" ht="18">
      <c r="B904" s="2" t="s">
        <v>120</v>
      </c>
      <c r="C904" s="6">
        <f>18039</f>
        <v>18039</v>
      </c>
    </row>
    <row r="906" spans="2:3" ht="18">
      <c r="B906" s="2" t="s">
        <v>85</v>
      </c>
      <c r="C906" s="6">
        <f>6212+2563+5127</f>
        <v>13902</v>
      </c>
    </row>
    <row r="907" spans="2:3" ht="18">
      <c r="B907" s="2" t="s">
        <v>86</v>
      </c>
      <c r="C907" s="6">
        <f>2894</f>
        <v>2894</v>
      </c>
    </row>
    <row r="908" spans="2:3" ht="18">
      <c r="B908" s="2" t="s">
        <v>83</v>
      </c>
      <c r="C908" s="6">
        <f>113+29+57</f>
        <v>199</v>
      </c>
    </row>
    <row r="909" spans="2:3" ht="18">
      <c r="B909" s="2" t="s">
        <v>84</v>
      </c>
      <c r="C909" s="6"/>
    </row>
    <row r="910" spans="2:3" ht="18">
      <c r="B910" s="2" t="s">
        <v>87</v>
      </c>
      <c r="C910" s="6">
        <f>581+1036+373</f>
        <v>1990</v>
      </c>
    </row>
    <row r="911" spans="2:3" ht="18">
      <c r="B911" s="2" t="s">
        <v>88</v>
      </c>
      <c r="C911" s="6"/>
    </row>
    <row r="912" spans="2:3" ht="18">
      <c r="B912" s="2" t="s">
        <v>89</v>
      </c>
      <c r="C912" s="6"/>
    </row>
    <row r="913" ht="18">
      <c r="C913" s="7">
        <f>SUM(C895:C910)</f>
        <v>78625</v>
      </c>
    </row>
    <row r="914" spans="1:4" ht="20.25">
      <c r="A914" s="1" t="s">
        <v>170</v>
      </c>
      <c r="B914" s="8" t="s">
        <v>42</v>
      </c>
      <c r="D914" s="7">
        <v>128834.6</v>
      </c>
    </row>
    <row r="915" spans="1:3" ht="18">
      <c r="A915" s="1" t="s">
        <v>249</v>
      </c>
      <c r="B915" s="2" t="s">
        <v>77</v>
      </c>
      <c r="C915" s="6"/>
    </row>
    <row r="916" spans="1:3" ht="18">
      <c r="A916" s="1" t="s">
        <v>250</v>
      </c>
      <c r="B916" s="2" t="s">
        <v>101</v>
      </c>
      <c r="C916" s="6"/>
    </row>
    <row r="917" spans="2:3" ht="18">
      <c r="B917" s="2" t="s">
        <v>158</v>
      </c>
      <c r="C917" s="12"/>
    </row>
    <row r="918" spans="2:3" ht="18">
      <c r="B918" s="2" t="s">
        <v>117</v>
      </c>
      <c r="C918" s="6"/>
    </row>
    <row r="919" spans="2:3" ht="18">
      <c r="B919" s="2" t="s">
        <v>396</v>
      </c>
      <c r="C919" s="6">
        <f>59</f>
        <v>59</v>
      </c>
    </row>
    <row r="920" spans="2:3" ht="18">
      <c r="B920" s="2" t="s">
        <v>433</v>
      </c>
      <c r="C920" s="6"/>
    </row>
    <row r="921" spans="2:3" ht="18">
      <c r="B921" s="2" t="s">
        <v>366</v>
      </c>
      <c r="C921" s="6"/>
    </row>
    <row r="922" spans="2:3" ht="18">
      <c r="B922" s="2" t="s">
        <v>135</v>
      </c>
      <c r="C922" s="6"/>
    </row>
    <row r="924" spans="2:3" ht="18">
      <c r="B924" s="2" t="s">
        <v>507</v>
      </c>
      <c r="C924" s="6">
        <f>1244+1244+631+1589+1589</f>
        <v>6297</v>
      </c>
    </row>
    <row r="925" spans="2:3" ht="18">
      <c r="B925" s="2" t="s">
        <v>512</v>
      </c>
      <c r="C925" s="6">
        <f>1029+1029+1117</f>
        <v>3175</v>
      </c>
    </row>
    <row r="926" spans="2:3" ht="18">
      <c r="B926" s="2" t="s">
        <v>12</v>
      </c>
      <c r="C926" s="6"/>
    </row>
    <row r="927" spans="2:3" ht="18">
      <c r="B927" s="2" t="s">
        <v>315</v>
      </c>
      <c r="C927" s="6"/>
    </row>
    <row r="928" spans="2:3" ht="18">
      <c r="B928" s="2" t="s">
        <v>513</v>
      </c>
      <c r="C928" s="6">
        <f>3963</f>
        <v>3963</v>
      </c>
    </row>
    <row r="929" spans="2:3" ht="18">
      <c r="B929" s="2" t="s">
        <v>514</v>
      </c>
      <c r="C929" s="6">
        <f>4418+351+4584+786</f>
        <v>10139</v>
      </c>
    </row>
    <row r="930" spans="2:3" ht="18">
      <c r="B930" s="2" t="s">
        <v>515</v>
      </c>
      <c r="C930" s="6">
        <f>10596+10694+17204</f>
        <v>38494</v>
      </c>
    </row>
    <row r="931" spans="2:3" ht="18">
      <c r="B931" s="2" t="s">
        <v>92</v>
      </c>
      <c r="C931" s="6"/>
    </row>
    <row r="932" spans="2:3" ht="18">
      <c r="B932" s="2" t="s">
        <v>120</v>
      </c>
      <c r="C932" s="6">
        <f>16189</f>
        <v>16189</v>
      </c>
    </row>
    <row r="934" spans="2:3" ht="18">
      <c r="B934" s="2" t="s">
        <v>85</v>
      </c>
      <c r="C934" s="6">
        <f>2745+2819</f>
        <v>5564</v>
      </c>
    </row>
    <row r="935" spans="2:3" ht="18">
      <c r="B935" s="2" t="s">
        <v>86</v>
      </c>
      <c r="C935" s="6"/>
    </row>
    <row r="936" spans="2:3" ht="18">
      <c r="B936" s="2" t="s">
        <v>83</v>
      </c>
      <c r="C936" s="6">
        <f>168+38+19</f>
        <v>225</v>
      </c>
    </row>
    <row r="937" spans="2:3" ht="18">
      <c r="B937" s="2" t="s">
        <v>84</v>
      </c>
      <c r="C937" s="6">
        <f>1141+1141</f>
        <v>2282</v>
      </c>
    </row>
    <row r="938" spans="2:3" ht="18">
      <c r="B938" s="2" t="s">
        <v>87</v>
      </c>
      <c r="C938" s="6">
        <f>196+385+497+187+187+363+373</f>
        <v>2188</v>
      </c>
    </row>
    <row r="939" spans="2:3" ht="18">
      <c r="B939" s="2" t="s">
        <v>88</v>
      </c>
      <c r="C939" s="6">
        <f>536+505+1010</f>
        <v>2051</v>
      </c>
    </row>
    <row r="940" spans="2:3" ht="18">
      <c r="B940" s="2" t="s">
        <v>144</v>
      </c>
      <c r="C940" s="6"/>
    </row>
    <row r="941" spans="2:3" ht="18">
      <c r="B941" s="2" t="s">
        <v>89</v>
      </c>
      <c r="C941" s="6"/>
    </row>
    <row r="942" ht="18">
      <c r="C942" s="7">
        <f>SUM(C915:C940)</f>
        <v>90626</v>
      </c>
    </row>
    <row r="943" spans="1:4" ht="20.25">
      <c r="A943" s="1" t="s">
        <v>224</v>
      </c>
      <c r="B943" s="8" t="s">
        <v>43</v>
      </c>
      <c r="D943" s="7">
        <v>335450.7</v>
      </c>
    </row>
    <row r="944" spans="1:3" ht="18">
      <c r="A944" s="1" t="s">
        <v>251</v>
      </c>
      <c r="B944" s="2" t="s">
        <v>78</v>
      </c>
      <c r="C944" s="6">
        <f>1184</f>
        <v>1184</v>
      </c>
    </row>
    <row r="945" spans="1:3" ht="18">
      <c r="A945" s="1" t="s">
        <v>252</v>
      </c>
      <c r="B945" s="2" t="s">
        <v>77</v>
      </c>
      <c r="C945" s="6"/>
    </row>
    <row r="946" spans="2:3" ht="18">
      <c r="B946" s="2" t="s">
        <v>117</v>
      </c>
      <c r="C946" s="6"/>
    </row>
    <row r="947" spans="2:3" ht="18">
      <c r="B947" s="2" t="s">
        <v>122</v>
      </c>
      <c r="C947" s="6"/>
    </row>
    <row r="948" ht="18">
      <c r="B948" s="4" t="s">
        <v>516</v>
      </c>
    </row>
    <row r="949" spans="2:3" ht="18">
      <c r="B949" s="2" t="s">
        <v>147</v>
      </c>
      <c r="C949" s="6"/>
    </row>
    <row r="950" spans="2:3" ht="18">
      <c r="B950" s="2" t="s">
        <v>358</v>
      </c>
      <c r="C950" s="6">
        <f>3229</f>
        <v>3229</v>
      </c>
    </row>
    <row r="951" spans="2:3" ht="18">
      <c r="B951" s="2" t="s">
        <v>135</v>
      </c>
      <c r="C951" s="6"/>
    </row>
    <row r="952" spans="2:3" ht="18">
      <c r="B952" s="2" t="s">
        <v>114</v>
      </c>
      <c r="C952" s="6"/>
    </row>
    <row r="953" spans="2:3" ht="18">
      <c r="B953" s="2" t="s">
        <v>517</v>
      </c>
      <c r="C953" s="6">
        <f>19858</f>
        <v>19858</v>
      </c>
    </row>
    <row r="954" spans="2:3" ht="18">
      <c r="B954" s="4" t="s">
        <v>357</v>
      </c>
      <c r="C954" s="6">
        <f>2397</f>
        <v>2397</v>
      </c>
    </row>
    <row r="955" spans="2:3" ht="18">
      <c r="B955" s="4" t="s">
        <v>125</v>
      </c>
      <c r="C955" s="6"/>
    </row>
    <row r="956" ht="18">
      <c r="B956" s="4"/>
    </row>
    <row r="957" spans="2:3" ht="18">
      <c r="B957" s="2" t="s">
        <v>518</v>
      </c>
      <c r="C957" s="6">
        <f>622+1521+1751+14157+11174+7316+795</f>
        <v>37336</v>
      </c>
    </row>
    <row r="958" spans="2:3" ht="18">
      <c r="B958" s="2" t="s">
        <v>519</v>
      </c>
      <c r="C958" s="6">
        <f>807+1210+2824+2060+9309</f>
        <v>16210</v>
      </c>
    </row>
    <row r="959" spans="2:3" ht="18">
      <c r="B959" s="2" t="s">
        <v>520</v>
      </c>
      <c r="C959" s="6">
        <f>1061+4977+21958</f>
        <v>27996</v>
      </c>
    </row>
    <row r="960" spans="2:3" ht="18">
      <c r="B960" s="2" t="s">
        <v>521</v>
      </c>
      <c r="C960" s="6">
        <f>1233+33325</f>
        <v>34558</v>
      </c>
    </row>
    <row r="961" spans="2:3" ht="18">
      <c r="B961" s="2" t="s">
        <v>93</v>
      </c>
      <c r="C961" s="6">
        <f>1276</f>
        <v>1276</v>
      </c>
    </row>
    <row r="962" spans="2:3" ht="18">
      <c r="B962" s="2" t="s">
        <v>522</v>
      </c>
      <c r="C962" s="6">
        <f>10596+21192+28519+45877</f>
        <v>106184</v>
      </c>
    </row>
    <row r="963" spans="2:3" ht="18">
      <c r="B963" s="2" t="s">
        <v>523</v>
      </c>
      <c r="C963" s="6">
        <f>1243+5398</f>
        <v>6641</v>
      </c>
    </row>
    <row r="964" spans="2:3" ht="18">
      <c r="B964" s="2" t="s">
        <v>120</v>
      </c>
      <c r="C964" s="6">
        <f>39050</f>
        <v>39050</v>
      </c>
    </row>
    <row r="966" spans="2:3" ht="18">
      <c r="B966" s="2" t="s">
        <v>85</v>
      </c>
      <c r="C966" s="6">
        <f>669+2745+5382+5127+5127</f>
        <v>19050</v>
      </c>
    </row>
    <row r="967" spans="2:3" ht="18">
      <c r="B967" s="2" t="s">
        <v>86</v>
      </c>
      <c r="C967" s="6"/>
    </row>
    <row r="968" spans="2:3" ht="18">
      <c r="B968" s="2" t="s">
        <v>83</v>
      </c>
      <c r="C968" s="6">
        <f>34+34+10+77+57+57</f>
        <v>269</v>
      </c>
    </row>
    <row r="969" spans="2:3" ht="18">
      <c r="B969" s="2" t="s">
        <v>84</v>
      </c>
      <c r="C969" s="6">
        <f>1313+1141</f>
        <v>2454</v>
      </c>
    </row>
    <row r="970" spans="2:3" ht="18">
      <c r="B970" s="2" t="s">
        <v>87</v>
      </c>
      <c r="C970" s="6">
        <f>392+373+974+233+1671+187+233</f>
        <v>4063</v>
      </c>
    </row>
    <row r="971" spans="2:3" ht="18">
      <c r="B971" s="2" t="s">
        <v>88</v>
      </c>
      <c r="C971" s="6">
        <f>505</f>
        <v>505</v>
      </c>
    </row>
    <row r="972" spans="2:3" ht="18">
      <c r="B972" s="2" t="s">
        <v>95</v>
      </c>
      <c r="C972" s="6"/>
    </row>
    <row r="973" spans="2:3" ht="18">
      <c r="B973" s="2" t="s">
        <v>89</v>
      </c>
      <c r="C973" s="6"/>
    </row>
    <row r="974" ht="18">
      <c r="C974" s="7">
        <f>SUM(C944:C972)</f>
        <v>322260</v>
      </c>
    </row>
    <row r="975" spans="1:4" ht="20.25">
      <c r="A975" s="1" t="s">
        <v>253</v>
      </c>
      <c r="B975" s="8" t="s">
        <v>44</v>
      </c>
      <c r="D975" s="7">
        <v>113794.2</v>
      </c>
    </row>
    <row r="976" spans="1:3" ht="18">
      <c r="A976" s="1" t="s">
        <v>254</v>
      </c>
      <c r="B976" s="2" t="s">
        <v>322</v>
      </c>
      <c r="C976" s="6"/>
    </row>
    <row r="977" spans="1:3" ht="18">
      <c r="A977" s="1" t="s">
        <v>255</v>
      </c>
      <c r="B977" s="2" t="s">
        <v>117</v>
      </c>
      <c r="C977" s="6"/>
    </row>
    <row r="978" spans="2:3" ht="18">
      <c r="B978" s="2" t="s">
        <v>158</v>
      </c>
      <c r="C978" s="6"/>
    </row>
    <row r="979" spans="2:3" ht="18">
      <c r="B979" s="2" t="s">
        <v>286</v>
      </c>
      <c r="C979" s="6"/>
    </row>
    <row r="980" spans="2:3" ht="18">
      <c r="B980" s="2" t="s">
        <v>145</v>
      </c>
      <c r="C980" s="6"/>
    </row>
    <row r="981" spans="2:3" ht="18">
      <c r="B981" s="2" t="s">
        <v>524</v>
      </c>
      <c r="C981" s="6"/>
    </row>
    <row r="982" spans="2:3" ht="18">
      <c r="B982" s="2" t="s">
        <v>525</v>
      </c>
      <c r="C982" s="6">
        <f>7609</f>
        <v>7609</v>
      </c>
    </row>
    <row r="983" spans="2:3" ht="18">
      <c r="B983" s="2" t="s">
        <v>526</v>
      </c>
      <c r="C983" s="6"/>
    </row>
    <row r="984" spans="2:3" ht="18">
      <c r="B984" s="2" t="s">
        <v>147</v>
      </c>
      <c r="C984" s="6"/>
    </row>
    <row r="985" spans="2:3" ht="18">
      <c r="B985" s="2" t="s">
        <v>80</v>
      </c>
      <c r="C985" s="6"/>
    </row>
    <row r="987" spans="2:3" ht="18">
      <c r="B987" s="2" t="s">
        <v>90</v>
      </c>
      <c r="C987" s="6"/>
    </row>
    <row r="988" spans="2:3" ht="18">
      <c r="B988" s="2" t="s">
        <v>66</v>
      </c>
      <c r="C988" s="6"/>
    </row>
    <row r="989" spans="2:3" ht="18">
      <c r="B989" s="2" t="s">
        <v>389</v>
      </c>
      <c r="C989" s="6">
        <f>3328</f>
        <v>3328</v>
      </c>
    </row>
    <row r="990" spans="2:3" ht="18">
      <c r="B990" s="2" t="s">
        <v>12</v>
      </c>
      <c r="C990" s="6"/>
    </row>
    <row r="991" spans="2:3" ht="18">
      <c r="B991" s="2" t="s">
        <v>67</v>
      </c>
      <c r="C991" s="6"/>
    </row>
    <row r="992" spans="2:3" ht="18">
      <c r="B992" s="2" t="s">
        <v>141</v>
      </c>
      <c r="C992" s="6"/>
    </row>
    <row r="993" spans="2:3" ht="18">
      <c r="B993" s="2" t="s">
        <v>120</v>
      </c>
      <c r="C993" s="6">
        <f>11568</f>
        <v>11568</v>
      </c>
    </row>
    <row r="995" spans="2:3" ht="18">
      <c r="B995" s="2" t="s">
        <v>85</v>
      </c>
      <c r="C995" s="6">
        <f>2745</f>
        <v>2745</v>
      </c>
    </row>
    <row r="996" spans="2:3" ht="18">
      <c r="B996" s="2" t="s">
        <v>86</v>
      </c>
      <c r="C996" s="6"/>
    </row>
    <row r="997" spans="2:3" ht="18">
      <c r="B997" s="2" t="s">
        <v>83</v>
      </c>
      <c r="C997" s="6">
        <f>34</f>
        <v>34</v>
      </c>
    </row>
    <row r="998" spans="2:3" ht="18">
      <c r="B998" s="2" t="s">
        <v>84</v>
      </c>
      <c r="C998" s="6"/>
    </row>
    <row r="999" spans="2:3" ht="18">
      <c r="B999" s="2" t="s">
        <v>87</v>
      </c>
      <c r="C999" s="6">
        <f>245</f>
        <v>245</v>
      </c>
    </row>
    <row r="1000" spans="2:3" ht="18">
      <c r="B1000" s="2" t="s">
        <v>88</v>
      </c>
      <c r="C1000" s="6"/>
    </row>
    <row r="1001" spans="2:3" ht="18">
      <c r="B1001" s="2" t="s">
        <v>89</v>
      </c>
      <c r="C1001" s="6"/>
    </row>
    <row r="1002" ht="18">
      <c r="C1002" s="7">
        <f>SUM(C976:C999)</f>
        <v>25529</v>
      </c>
    </row>
    <row r="1003" spans="1:4" ht="20.25">
      <c r="A1003" s="1" t="s">
        <v>256</v>
      </c>
      <c r="B1003" s="8" t="s">
        <v>45</v>
      </c>
      <c r="D1003" s="7">
        <v>112922.6</v>
      </c>
    </row>
    <row r="1004" spans="1:3" ht="18">
      <c r="A1004" s="1" t="s">
        <v>293</v>
      </c>
      <c r="B1004" s="4" t="s">
        <v>116</v>
      </c>
      <c r="C1004" s="6"/>
    </row>
    <row r="1005" spans="1:3" ht="18">
      <c r="A1005" s="1" t="s">
        <v>257</v>
      </c>
      <c r="B1005" s="4" t="s">
        <v>111</v>
      </c>
      <c r="C1005" s="6"/>
    </row>
    <row r="1006" spans="2:3" ht="18">
      <c r="B1006" s="2" t="s">
        <v>117</v>
      </c>
      <c r="C1006" s="6"/>
    </row>
    <row r="1007" spans="2:3" ht="18">
      <c r="B1007" s="2" t="s">
        <v>147</v>
      </c>
      <c r="C1007" s="6"/>
    </row>
    <row r="1008" spans="2:3" ht="18">
      <c r="B1008" s="2" t="s">
        <v>158</v>
      </c>
      <c r="C1008" s="6"/>
    </row>
    <row r="1009" spans="2:3" ht="18">
      <c r="B1009" s="2" t="s">
        <v>340</v>
      </c>
      <c r="C1009" s="6"/>
    </row>
    <row r="1010" spans="2:3" ht="18">
      <c r="B1010" s="2" t="s">
        <v>119</v>
      </c>
      <c r="C1010" s="6">
        <f>130878</f>
        <v>130878</v>
      </c>
    </row>
    <row r="1011" spans="2:3" ht="18">
      <c r="B1011" s="2" t="s">
        <v>350</v>
      </c>
      <c r="C1011" s="6"/>
    </row>
    <row r="1012" spans="2:3" ht="18">
      <c r="B1012" s="2" t="s">
        <v>145</v>
      </c>
      <c r="C1012" s="6"/>
    </row>
    <row r="1013" spans="2:3" ht="18">
      <c r="B1013" s="2" t="s">
        <v>80</v>
      </c>
      <c r="C1013" s="6"/>
    </row>
    <row r="1014" spans="2:3" ht="18">
      <c r="B1014" s="2" t="s">
        <v>127</v>
      </c>
      <c r="C1014" s="6"/>
    </row>
    <row r="1015" ht="18">
      <c r="B1015" s="4"/>
    </row>
    <row r="1016" spans="2:3" ht="18">
      <c r="B1016" s="2" t="s">
        <v>414</v>
      </c>
      <c r="C1016" s="6">
        <f>10182</f>
        <v>10182</v>
      </c>
    </row>
    <row r="1017" spans="2:3" ht="18">
      <c r="B1017" s="2" t="s">
        <v>400</v>
      </c>
      <c r="C1017" s="6">
        <f>3328</f>
        <v>3328</v>
      </c>
    </row>
    <row r="1018" spans="2:3" ht="18">
      <c r="B1018" s="2" t="s">
        <v>90</v>
      </c>
      <c r="C1018" s="6"/>
    </row>
    <row r="1019" spans="2:3" ht="18">
      <c r="B1019" s="2" t="s">
        <v>71</v>
      </c>
      <c r="C1019" s="6"/>
    </row>
    <row r="1020" spans="2:3" ht="18">
      <c r="B1020" s="2" t="s">
        <v>142</v>
      </c>
      <c r="C1020" s="6"/>
    </row>
    <row r="1021" spans="2:3" ht="18">
      <c r="B1021" s="2" t="s">
        <v>120</v>
      </c>
      <c r="C1021" s="6">
        <f>11568</f>
        <v>11568</v>
      </c>
    </row>
    <row r="1023" spans="2:3" ht="18">
      <c r="B1023" s="2" t="s">
        <v>85</v>
      </c>
      <c r="C1023" s="6"/>
    </row>
    <row r="1024" spans="2:3" ht="18">
      <c r="B1024" s="2" t="s">
        <v>86</v>
      </c>
      <c r="C1024" s="6"/>
    </row>
    <row r="1025" spans="2:3" ht="18">
      <c r="B1025" s="2" t="s">
        <v>83</v>
      </c>
      <c r="C1025" s="6"/>
    </row>
    <row r="1026" spans="2:3" ht="18">
      <c r="B1026" s="2" t="s">
        <v>84</v>
      </c>
      <c r="C1026" s="6"/>
    </row>
    <row r="1027" spans="2:3" ht="18">
      <c r="B1027" s="2" t="s">
        <v>87</v>
      </c>
      <c r="C1027" s="6">
        <f>327</f>
        <v>327</v>
      </c>
    </row>
    <row r="1028" spans="2:3" ht="18">
      <c r="B1028" s="2" t="s">
        <v>88</v>
      </c>
      <c r="C1028" s="6"/>
    </row>
    <row r="1029" spans="2:3" ht="18">
      <c r="B1029" s="2" t="s">
        <v>95</v>
      </c>
      <c r="C1029" s="6"/>
    </row>
    <row r="1030" spans="2:3" ht="18">
      <c r="B1030" s="2" t="s">
        <v>89</v>
      </c>
      <c r="C1030" s="6"/>
    </row>
    <row r="1031" ht="18">
      <c r="C1031" s="7">
        <f>SUM(C1004:C1029)</f>
        <v>156283</v>
      </c>
    </row>
    <row r="1032" spans="1:4" ht="20.25">
      <c r="A1032" s="1" t="s">
        <v>216</v>
      </c>
      <c r="B1032" s="8" t="s">
        <v>46</v>
      </c>
      <c r="D1032" s="7">
        <v>348016.5</v>
      </c>
    </row>
    <row r="1033" spans="1:3" ht="18">
      <c r="A1033" s="1" t="s">
        <v>258</v>
      </c>
      <c r="B1033" s="2" t="s">
        <v>78</v>
      </c>
      <c r="C1033" s="6">
        <f>1184</f>
        <v>1184</v>
      </c>
    </row>
    <row r="1034" spans="1:3" ht="18">
      <c r="A1034" s="1" t="s">
        <v>259</v>
      </c>
      <c r="B1034" s="2" t="s">
        <v>115</v>
      </c>
      <c r="C1034" s="6"/>
    </row>
    <row r="1035" spans="2:3" ht="18">
      <c r="B1035" s="2" t="s">
        <v>80</v>
      </c>
      <c r="C1035" s="6"/>
    </row>
    <row r="1036" spans="2:3" ht="18">
      <c r="B1036" s="2" t="s">
        <v>79</v>
      </c>
      <c r="C1036" s="6"/>
    </row>
    <row r="1037" spans="2:3" ht="18">
      <c r="B1037" s="2" t="s">
        <v>527</v>
      </c>
      <c r="C1037" s="6">
        <f>1505</f>
        <v>1505</v>
      </c>
    </row>
    <row r="1038" spans="2:3" ht="18">
      <c r="B1038" s="2" t="s">
        <v>167</v>
      </c>
      <c r="C1038" s="6"/>
    </row>
    <row r="1039" spans="2:3" ht="18">
      <c r="B1039" s="2" t="s">
        <v>528</v>
      </c>
      <c r="C1039" s="6"/>
    </row>
    <row r="1040" spans="2:3" ht="18">
      <c r="B1040" s="2" t="s">
        <v>328</v>
      </c>
      <c r="C1040" s="6">
        <f>951</f>
        <v>951</v>
      </c>
    </row>
    <row r="1041" spans="2:3" ht="18">
      <c r="B1041" s="2" t="s">
        <v>135</v>
      </c>
      <c r="C1041" s="6"/>
    </row>
    <row r="1042" spans="2:3" ht="18">
      <c r="B1042" s="2" t="s">
        <v>529</v>
      </c>
      <c r="C1042" s="6">
        <f>31772</f>
        <v>31772</v>
      </c>
    </row>
    <row r="1043" spans="2:3" ht="18">
      <c r="B1043" s="2" t="s">
        <v>498</v>
      </c>
      <c r="C1043" s="6"/>
    </row>
    <row r="1044" spans="2:3" ht="18">
      <c r="B1044" s="2" t="s">
        <v>323</v>
      </c>
      <c r="C1044" s="6"/>
    </row>
    <row r="1045" spans="2:4" ht="18">
      <c r="B1045" s="2" t="s">
        <v>347</v>
      </c>
      <c r="C1045" s="6">
        <f>1726</f>
        <v>1726</v>
      </c>
      <c r="D1045" s="15"/>
    </row>
    <row r="1047" spans="2:3" ht="18">
      <c r="B1047" s="2" t="s">
        <v>530</v>
      </c>
      <c r="C1047" s="6">
        <f>1866+2028+1262+2933+1262+2523+7076+1182</f>
        <v>20132</v>
      </c>
    </row>
    <row r="1048" spans="2:3" ht="18">
      <c r="B1048" s="2" t="s">
        <v>397</v>
      </c>
      <c r="C1048" s="6">
        <f>1614</f>
        <v>1614</v>
      </c>
    </row>
    <row r="1049" spans="2:3" ht="18">
      <c r="B1049" s="2" t="s">
        <v>531</v>
      </c>
      <c r="C1049" s="6">
        <f>12827+801+1707</f>
        <v>15335</v>
      </c>
    </row>
    <row r="1050" spans="2:3" ht="18">
      <c r="B1050" s="2" t="s">
        <v>12</v>
      </c>
      <c r="C1050" s="6"/>
    </row>
    <row r="1051" spans="2:3" ht="18">
      <c r="B1051" s="2" t="s">
        <v>93</v>
      </c>
      <c r="C1051" s="6"/>
    </row>
    <row r="1052" spans="2:3" ht="18">
      <c r="B1052" s="2" t="s">
        <v>532</v>
      </c>
      <c r="C1052" s="6">
        <f>16276+553+1571+12291+47907+1571</f>
        <v>80169</v>
      </c>
    </row>
    <row r="1053" spans="2:3" ht="18">
      <c r="B1053" s="2" t="s">
        <v>120</v>
      </c>
      <c r="C1053" s="6">
        <f>41404</f>
        <v>41404</v>
      </c>
    </row>
    <row r="1055" spans="2:3" ht="18">
      <c r="B1055" s="2" t="s">
        <v>85</v>
      </c>
      <c r="C1055" s="6">
        <f>5255+2819+3075+5382</f>
        <v>16531</v>
      </c>
    </row>
    <row r="1056" spans="2:3" ht="18">
      <c r="B1056" s="2" t="s">
        <v>86</v>
      </c>
      <c r="C1056" s="6">
        <f>5865</f>
        <v>5865</v>
      </c>
    </row>
    <row r="1057" spans="2:3" ht="18">
      <c r="B1057" s="2" t="s">
        <v>83</v>
      </c>
      <c r="C1057" s="6">
        <f>90+57+29+67+77+19</f>
        <v>339</v>
      </c>
    </row>
    <row r="1058" spans="2:3" ht="18">
      <c r="B1058" s="2" t="s">
        <v>84</v>
      </c>
      <c r="C1058" s="6">
        <f>1288+2626+1141+1141</f>
        <v>6196</v>
      </c>
    </row>
    <row r="1059" spans="2:3" ht="18">
      <c r="B1059" s="2" t="s">
        <v>87</v>
      </c>
      <c r="C1059" s="6">
        <f>539+483+653+942+420+233</f>
        <v>3270</v>
      </c>
    </row>
    <row r="1060" spans="2:3" ht="18">
      <c r="B1060" s="2" t="s">
        <v>88</v>
      </c>
      <c r="C1060" s="6">
        <f>1071+1010</f>
        <v>2081</v>
      </c>
    </row>
    <row r="1061" spans="2:3" ht="18">
      <c r="B1061" s="2" t="s">
        <v>89</v>
      </c>
      <c r="C1061" s="6"/>
    </row>
    <row r="1062" ht="18">
      <c r="C1062" s="7">
        <f>SUM(C1033:C1060)</f>
        <v>230074</v>
      </c>
    </row>
    <row r="1063" spans="1:4" ht="20.25">
      <c r="A1063" s="1" t="s">
        <v>178</v>
      </c>
      <c r="B1063" s="8" t="s">
        <v>3</v>
      </c>
      <c r="D1063" s="7">
        <v>159547.1</v>
      </c>
    </row>
    <row r="1064" spans="1:3" ht="18">
      <c r="A1064" s="1" t="s">
        <v>260</v>
      </c>
      <c r="B1064" s="2" t="s">
        <v>371</v>
      </c>
      <c r="C1064" s="6"/>
    </row>
    <row r="1065" spans="1:3" ht="18">
      <c r="A1065" s="1" t="s">
        <v>261</v>
      </c>
      <c r="B1065" s="2" t="s">
        <v>148</v>
      </c>
      <c r="C1065" s="6"/>
    </row>
    <row r="1066" spans="2:3" ht="18">
      <c r="B1066" s="2" t="s">
        <v>158</v>
      </c>
      <c r="C1066" s="6"/>
    </row>
    <row r="1067" spans="2:3" ht="18">
      <c r="B1067" s="2" t="s">
        <v>164</v>
      </c>
      <c r="C1067" s="6"/>
    </row>
    <row r="1068" spans="2:3" ht="18">
      <c r="B1068" s="2" t="s">
        <v>115</v>
      </c>
      <c r="C1068" s="6"/>
    </row>
    <row r="1069" spans="2:3" ht="18">
      <c r="B1069" s="2" t="s">
        <v>152</v>
      </c>
      <c r="C1069" s="6"/>
    </row>
    <row r="1070" spans="2:3" ht="18">
      <c r="B1070" s="2" t="s">
        <v>365</v>
      </c>
      <c r="C1070" s="6">
        <f>14119</f>
        <v>14119</v>
      </c>
    </row>
    <row r="1071" spans="2:3" ht="18">
      <c r="B1071" s="2" t="s">
        <v>145</v>
      </c>
      <c r="C1071" s="6"/>
    </row>
    <row r="1072" spans="2:3" ht="18">
      <c r="B1072" s="2" t="s">
        <v>80</v>
      </c>
      <c r="C1072" s="6">
        <f>1412</f>
        <v>1412</v>
      </c>
    </row>
    <row r="1074" spans="2:3" ht="18">
      <c r="B1074" s="2" t="s">
        <v>405</v>
      </c>
      <c r="C1074" s="6">
        <f>1892+1589</f>
        <v>3481</v>
      </c>
    </row>
    <row r="1075" spans="2:3" ht="18">
      <c r="B1075" s="2" t="s">
        <v>389</v>
      </c>
      <c r="C1075" s="6">
        <f>1236</f>
        <v>1236</v>
      </c>
    </row>
    <row r="1076" spans="2:3" ht="18">
      <c r="B1076" s="2" t="s">
        <v>533</v>
      </c>
      <c r="C1076" s="6">
        <f>4118</f>
        <v>4118</v>
      </c>
    </row>
    <row r="1077" spans="2:4" ht="18">
      <c r="B1077" s="2" t="s">
        <v>431</v>
      </c>
      <c r="C1077" s="6">
        <f>9169+848+1850+10787+640+1602</f>
        <v>24896</v>
      </c>
      <c r="D1077" s="3" t="s">
        <v>534</v>
      </c>
    </row>
    <row r="1078" spans="2:3" ht="18">
      <c r="B1078" s="2" t="s">
        <v>12</v>
      </c>
      <c r="C1078" s="6">
        <f>2051+3019</f>
        <v>5070</v>
      </c>
    </row>
    <row r="1079" spans="2:3" ht="18">
      <c r="B1079" s="2" t="s">
        <v>92</v>
      </c>
      <c r="C1079" s="6">
        <f>1276</f>
        <v>1276</v>
      </c>
    </row>
    <row r="1080" spans="2:3" ht="18">
      <c r="B1080" s="2" t="s">
        <v>120</v>
      </c>
      <c r="C1080" s="6">
        <f>22613</f>
        <v>22613</v>
      </c>
    </row>
    <row r="1082" spans="2:3" ht="18">
      <c r="B1082" s="2" t="s">
        <v>85</v>
      </c>
      <c r="C1082" s="6">
        <f>2563+5382+5127</f>
        <v>13072</v>
      </c>
    </row>
    <row r="1083" spans="2:3" ht="18">
      <c r="B1083" s="2" t="s">
        <v>86</v>
      </c>
      <c r="C1083" s="6">
        <f>4027</f>
        <v>4027</v>
      </c>
    </row>
    <row r="1084" spans="2:3" ht="18">
      <c r="B1084" s="2" t="s">
        <v>83</v>
      </c>
      <c r="C1084" s="6">
        <f>689+29+77+57</f>
        <v>852</v>
      </c>
    </row>
    <row r="1085" spans="2:3" ht="18">
      <c r="B1085" s="2" t="s">
        <v>84</v>
      </c>
      <c r="C1085" s="6">
        <f>1313</f>
        <v>1313</v>
      </c>
    </row>
    <row r="1086" spans="2:3" ht="18">
      <c r="B1086" s="2" t="s">
        <v>87</v>
      </c>
      <c r="C1086" s="6">
        <f>343+233</f>
        <v>576</v>
      </c>
    </row>
    <row r="1087" spans="2:3" ht="18">
      <c r="B1087" s="2" t="s">
        <v>88</v>
      </c>
      <c r="C1087" s="6"/>
    </row>
    <row r="1088" spans="2:3" ht="18">
      <c r="B1088" s="2" t="s">
        <v>89</v>
      </c>
      <c r="C1088" s="6"/>
    </row>
    <row r="1089" ht="18">
      <c r="C1089" s="7">
        <f>SUM(C1064:C1088)</f>
        <v>98061</v>
      </c>
    </row>
    <row r="1090" spans="1:4" ht="20.25">
      <c r="A1090" s="1" t="s">
        <v>236</v>
      </c>
      <c r="B1090" s="8" t="s">
        <v>0</v>
      </c>
      <c r="D1090" s="7">
        <v>426043.8</v>
      </c>
    </row>
    <row r="1091" spans="1:3" ht="18">
      <c r="A1091" s="1" t="s">
        <v>262</v>
      </c>
      <c r="B1091" s="2" t="s">
        <v>80</v>
      </c>
      <c r="C1091" s="12"/>
    </row>
    <row r="1092" spans="1:3" ht="18">
      <c r="A1092" s="1" t="s">
        <v>263</v>
      </c>
      <c r="B1092" s="2" t="s">
        <v>324</v>
      </c>
      <c r="C1092" s="12"/>
    </row>
    <row r="1093" spans="2:3" ht="18">
      <c r="B1093" s="2" t="s">
        <v>325</v>
      </c>
      <c r="C1093" s="12" t="s">
        <v>413</v>
      </c>
    </row>
    <row r="1094" spans="2:3" ht="18">
      <c r="B1094" s="2" t="s">
        <v>158</v>
      </c>
      <c r="C1094" s="12"/>
    </row>
    <row r="1095" spans="2:3" ht="18">
      <c r="B1095" s="2" t="s">
        <v>108</v>
      </c>
      <c r="C1095" s="12"/>
    </row>
    <row r="1096" spans="2:3" ht="18">
      <c r="B1096" s="2" t="s">
        <v>116</v>
      </c>
      <c r="C1096" s="12"/>
    </row>
    <row r="1097" spans="2:3" ht="18">
      <c r="B1097" s="4" t="s">
        <v>109</v>
      </c>
      <c r="C1097" s="12"/>
    </row>
    <row r="1098" spans="2:3" ht="18">
      <c r="B1098" s="2" t="s">
        <v>371</v>
      </c>
      <c r="C1098" s="12"/>
    </row>
    <row r="1099" spans="2:3" ht="18">
      <c r="B1099" s="4" t="s">
        <v>283</v>
      </c>
      <c r="C1099" s="12"/>
    </row>
    <row r="1100" spans="2:3" ht="18">
      <c r="B1100" s="4" t="s">
        <v>357</v>
      </c>
      <c r="C1100" s="6"/>
    </row>
    <row r="1101" spans="2:3" ht="18">
      <c r="B1101" s="4" t="s">
        <v>135</v>
      </c>
      <c r="C1101" s="12"/>
    </row>
    <row r="1102" spans="2:3" ht="18">
      <c r="B1102" s="4" t="s">
        <v>288</v>
      </c>
      <c r="C1102" s="12"/>
    </row>
    <row r="1103" spans="2:3" ht="18">
      <c r="B1103" s="4" t="s">
        <v>535</v>
      </c>
      <c r="C1103" s="12">
        <f>16679</f>
        <v>16679</v>
      </c>
    </row>
    <row r="1104" spans="2:3" ht="18">
      <c r="B1104" s="4" t="s">
        <v>152</v>
      </c>
      <c r="C1104" s="12"/>
    </row>
    <row r="1105" spans="2:3" ht="18">
      <c r="B1105" s="11"/>
      <c r="C1105" s="11"/>
    </row>
    <row r="1106" spans="2:3" ht="18">
      <c r="B1106" s="2" t="s">
        <v>536</v>
      </c>
      <c r="C1106" s="6">
        <f>622+23440+1262+2933+9271+1547+1182</f>
        <v>40257</v>
      </c>
    </row>
    <row r="1107" spans="2:3" ht="18">
      <c r="B1107" s="2" t="s">
        <v>537</v>
      </c>
      <c r="C1107" s="6">
        <f>403+1210+7103</f>
        <v>8716</v>
      </c>
    </row>
    <row r="1108" spans="2:3" ht="18">
      <c r="B1108" s="2" t="s">
        <v>104</v>
      </c>
      <c r="C1108" s="6"/>
    </row>
    <row r="1109" spans="2:3" ht="18">
      <c r="B1109" s="2" t="s">
        <v>12</v>
      </c>
      <c r="C1109" s="6">
        <f>1719</f>
        <v>1719</v>
      </c>
    </row>
    <row r="1110" spans="2:3" ht="18">
      <c r="B1110" s="2" t="s">
        <v>386</v>
      </c>
      <c r="C1110" s="6">
        <f>5879+702+2564</f>
        <v>9145</v>
      </c>
    </row>
    <row r="1111" spans="2:3" ht="18">
      <c r="B1111" s="2" t="s">
        <v>538</v>
      </c>
      <c r="C1111" s="6">
        <f>1146+5478+1010+1077</f>
        <v>8711</v>
      </c>
    </row>
    <row r="1112" spans="2:3" ht="18">
      <c r="B1112" s="2" t="s">
        <v>539</v>
      </c>
      <c r="C1112" s="6">
        <f>3764+4422</f>
        <v>8186</v>
      </c>
    </row>
    <row r="1113" spans="2:3" ht="18">
      <c r="B1113" s="2" t="s">
        <v>540</v>
      </c>
      <c r="C1113" s="6">
        <f>31789</f>
        <v>31789</v>
      </c>
    </row>
    <row r="1114" spans="2:3" ht="18">
      <c r="B1114" s="2" t="s">
        <v>120</v>
      </c>
      <c r="C1114" s="6">
        <f>38891</f>
        <v>38891</v>
      </c>
    </row>
    <row r="1116" spans="2:3" ht="18">
      <c r="B1116" s="2" t="s">
        <v>85</v>
      </c>
      <c r="C1116" s="6">
        <f>2563+2563+7946+2819</f>
        <v>15891</v>
      </c>
    </row>
    <row r="1117" spans="2:3" ht="18">
      <c r="B1117" s="2" t="s">
        <v>86</v>
      </c>
      <c r="C1117" s="6">
        <f>3139</f>
        <v>3139</v>
      </c>
    </row>
    <row r="1118" spans="2:3" ht="18">
      <c r="B1118" s="2" t="s">
        <v>83</v>
      </c>
      <c r="C1118" s="6">
        <f>29+29+105+48</f>
        <v>211</v>
      </c>
    </row>
    <row r="1119" spans="2:3" ht="18">
      <c r="B1119" s="2" t="s">
        <v>84</v>
      </c>
      <c r="C1119" s="6">
        <f>1141+1141</f>
        <v>2282</v>
      </c>
    </row>
    <row r="1120" spans="2:3" ht="18">
      <c r="B1120" s="2" t="s">
        <v>87</v>
      </c>
      <c r="C1120" s="6">
        <f>294+560+232+233+233</f>
        <v>1552</v>
      </c>
    </row>
    <row r="1121" spans="2:3" ht="18">
      <c r="B1121" s="2" t="s">
        <v>88</v>
      </c>
      <c r="C1121" s="6"/>
    </row>
    <row r="1122" spans="2:3" ht="18">
      <c r="B1122" s="2" t="s">
        <v>89</v>
      </c>
      <c r="C1122" s="6"/>
    </row>
    <row r="1123" ht="18">
      <c r="C1123" s="7">
        <f>SUM(C1091:C1121)</f>
        <v>187168</v>
      </c>
    </row>
    <row r="1124" spans="1:4" ht="20.25">
      <c r="A1124" s="1" t="s">
        <v>192</v>
      </c>
      <c r="B1124" s="8" t="s">
        <v>8</v>
      </c>
      <c r="D1124" s="7">
        <v>124142.9</v>
      </c>
    </row>
    <row r="1125" spans="1:3" ht="18">
      <c r="A1125" s="1" t="s">
        <v>264</v>
      </c>
      <c r="B1125" s="4" t="s">
        <v>80</v>
      </c>
      <c r="C1125" s="6">
        <f>887+781</f>
        <v>1668</v>
      </c>
    </row>
    <row r="1126" spans="1:3" ht="18">
      <c r="A1126" s="1" t="s">
        <v>265</v>
      </c>
      <c r="B1126" s="4" t="s">
        <v>541</v>
      </c>
      <c r="C1126" s="6">
        <f>769+944</f>
        <v>1713</v>
      </c>
    </row>
    <row r="1127" spans="2:3" ht="18">
      <c r="B1127" s="4" t="s">
        <v>380</v>
      </c>
      <c r="C1127" s="6">
        <f>2505</f>
        <v>2505</v>
      </c>
    </row>
    <row r="1128" spans="2:3" ht="18">
      <c r="B1128" s="2" t="s">
        <v>117</v>
      </c>
      <c r="C1128" s="6"/>
    </row>
    <row r="1129" spans="2:3" ht="18">
      <c r="B1129" s="2" t="s">
        <v>381</v>
      </c>
      <c r="C1129" s="6">
        <f>3569</f>
        <v>3569</v>
      </c>
    </row>
    <row r="1130" spans="2:3" ht="18">
      <c r="B1130" s="2" t="s">
        <v>100</v>
      </c>
      <c r="C1130" s="6"/>
    </row>
    <row r="1131" spans="2:3" ht="18">
      <c r="B1131" s="2" t="s">
        <v>316</v>
      </c>
      <c r="C1131" s="6"/>
    </row>
    <row r="1132" spans="2:3" ht="18">
      <c r="B1132" s="2" t="s">
        <v>542</v>
      </c>
      <c r="C1132" s="6">
        <f>130273</f>
        <v>130273</v>
      </c>
    </row>
    <row r="1133" spans="2:3" ht="18">
      <c r="B1133" s="4" t="s">
        <v>303</v>
      </c>
      <c r="C1133" s="6"/>
    </row>
    <row r="1134" ht="18">
      <c r="B1134" s="4"/>
    </row>
    <row r="1135" spans="2:3" ht="18">
      <c r="B1135" s="2" t="s">
        <v>428</v>
      </c>
      <c r="C1135" s="6">
        <f>1014+1690</f>
        <v>2704</v>
      </c>
    </row>
    <row r="1136" spans="2:3" ht="18">
      <c r="B1136" s="2" t="s">
        <v>64</v>
      </c>
      <c r="C1136" s="6"/>
    </row>
    <row r="1137" spans="2:3" ht="18">
      <c r="B1137" s="2" t="s">
        <v>93</v>
      </c>
      <c r="C1137" s="6"/>
    </row>
    <row r="1138" spans="2:3" ht="18">
      <c r="B1138" s="2" t="s">
        <v>429</v>
      </c>
      <c r="C1138" s="6">
        <f>2541+848+1850+565+1234</f>
        <v>7038</v>
      </c>
    </row>
    <row r="1139" spans="2:3" ht="18">
      <c r="B1139" s="2" t="s">
        <v>141</v>
      </c>
      <c r="C1139" s="6"/>
    </row>
    <row r="1140" spans="2:3" ht="18">
      <c r="B1140" s="2" t="s">
        <v>543</v>
      </c>
      <c r="C1140" s="6">
        <f>708</f>
        <v>708</v>
      </c>
    </row>
    <row r="1141" spans="2:3" ht="18">
      <c r="B1141" s="2" t="s">
        <v>120</v>
      </c>
      <c r="C1141" s="6">
        <f>12888</f>
        <v>12888</v>
      </c>
    </row>
    <row r="1143" spans="2:3" ht="18">
      <c r="B1143" s="2" t="s">
        <v>85</v>
      </c>
      <c r="C1143" s="6">
        <f>2745+2563+2563</f>
        <v>7871</v>
      </c>
    </row>
    <row r="1144" spans="2:3" ht="18">
      <c r="B1144" s="2" t="s">
        <v>86</v>
      </c>
      <c r="C1144" s="6"/>
    </row>
    <row r="1145" spans="2:3" ht="18">
      <c r="B1145" s="2" t="s">
        <v>83</v>
      </c>
      <c r="C1145" s="6">
        <f>168+29+29</f>
        <v>226</v>
      </c>
    </row>
    <row r="1146" spans="2:3" ht="18">
      <c r="B1146" s="2" t="s">
        <v>84</v>
      </c>
      <c r="C1146" s="6"/>
    </row>
    <row r="1147" spans="2:3" ht="18">
      <c r="B1147" s="2" t="s">
        <v>87</v>
      </c>
      <c r="C1147" s="6">
        <f>343+420+187</f>
        <v>950</v>
      </c>
    </row>
    <row r="1148" spans="2:3" ht="18">
      <c r="B1148" s="2" t="s">
        <v>88</v>
      </c>
      <c r="C1148" s="6"/>
    </row>
    <row r="1149" spans="2:3" ht="18">
      <c r="B1149" s="2" t="s">
        <v>89</v>
      </c>
      <c r="C1149" s="6"/>
    </row>
    <row r="1150" ht="18">
      <c r="C1150" s="7">
        <f>SUM(C1125:C1148)</f>
        <v>172113</v>
      </c>
    </row>
    <row r="1151" spans="1:4" ht="20.25">
      <c r="A1151" s="1" t="s">
        <v>186</v>
      </c>
      <c r="B1151" s="8" t="s">
        <v>4</v>
      </c>
      <c r="D1151" s="7">
        <v>379109.3</v>
      </c>
    </row>
    <row r="1152" spans="1:3" ht="18">
      <c r="A1152" s="1" t="s">
        <v>266</v>
      </c>
      <c r="B1152" s="2" t="s">
        <v>147</v>
      </c>
      <c r="C1152" s="6"/>
    </row>
    <row r="1153" spans="1:3" ht="18">
      <c r="A1153" s="1" t="s">
        <v>267</v>
      </c>
      <c r="B1153" s="4" t="s">
        <v>158</v>
      </c>
      <c r="C1153" s="6"/>
    </row>
    <row r="1154" spans="2:3" ht="18">
      <c r="B1154" s="4" t="s">
        <v>368</v>
      </c>
      <c r="C1154" s="6"/>
    </row>
    <row r="1155" spans="2:3" ht="18">
      <c r="B1155" s="2" t="s">
        <v>117</v>
      </c>
      <c r="C1155" s="6">
        <f>1058+2116</f>
        <v>3174</v>
      </c>
    </row>
    <row r="1156" spans="2:3" ht="18">
      <c r="B1156" s="2" t="s">
        <v>130</v>
      </c>
      <c r="C1156" s="6"/>
    </row>
    <row r="1157" spans="2:3" ht="18">
      <c r="B1157" s="2" t="s">
        <v>145</v>
      </c>
      <c r="C1157" s="6"/>
    </row>
    <row r="1158" spans="2:3" ht="18">
      <c r="B1158" s="2" t="s">
        <v>152</v>
      </c>
      <c r="C1158" s="6"/>
    </row>
    <row r="1159" spans="2:3" ht="18">
      <c r="B1159" s="2" t="s">
        <v>301</v>
      </c>
      <c r="C1159" s="6">
        <f>1794</f>
        <v>1794</v>
      </c>
    </row>
    <row r="1160" spans="2:3" ht="18">
      <c r="B1160" s="2" t="s">
        <v>288</v>
      </c>
      <c r="C1160" s="6"/>
    </row>
    <row r="1161" spans="2:3" ht="18">
      <c r="B1161" s="2" t="s">
        <v>498</v>
      </c>
      <c r="C1161" s="6"/>
    </row>
    <row r="1162" spans="2:3" ht="18">
      <c r="B1162" s="2" t="s">
        <v>544</v>
      </c>
      <c r="C1162" s="6"/>
    </row>
    <row r="1163" spans="2:3" ht="18">
      <c r="B1163" s="2" t="s">
        <v>545</v>
      </c>
      <c r="C1163" s="6"/>
    </row>
    <row r="1164" spans="2:3" ht="18">
      <c r="B1164" s="4" t="s">
        <v>80</v>
      </c>
      <c r="C1164" s="6">
        <f>1412+1244+246+2489+502</f>
        <v>5893</v>
      </c>
    </row>
    <row r="1165" ht="20.25">
      <c r="B1165" s="10"/>
    </row>
    <row r="1166" spans="2:3" ht="18">
      <c r="B1166" s="2" t="s">
        <v>546</v>
      </c>
      <c r="C1166" s="6">
        <f>1244+1262+1262+3566+2364</f>
        <v>9698</v>
      </c>
    </row>
    <row r="1167" spans="2:3" ht="18">
      <c r="B1167" s="2" t="s">
        <v>547</v>
      </c>
      <c r="C1167" s="6">
        <f>7463+1490</f>
        <v>8953</v>
      </c>
    </row>
    <row r="1168" spans="2:3" ht="18">
      <c r="B1168" s="2" t="s">
        <v>548</v>
      </c>
      <c r="C1168" s="6">
        <f>2830+3894</f>
        <v>6724</v>
      </c>
    </row>
    <row r="1169" spans="2:3" ht="18">
      <c r="B1169" s="2" t="s">
        <v>93</v>
      </c>
      <c r="C1169" s="6">
        <f>3814</f>
        <v>3814</v>
      </c>
    </row>
    <row r="1170" spans="2:3" ht="18">
      <c r="B1170" s="2" t="s">
        <v>549</v>
      </c>
      <c r="C1170" s="6">
        <f>4108</f>
        <v>4108</v>
      </c>
    </row>
    <row r="1171" spans="2:3" ht="18">
      <c r="B1171" s="2" t="s">
        <v>12</v>
      </c>
      <c r="C1171" s="6"/>
    </row>
    <row r="1172" spans="2:3" ht="18">
      <c r="B1172" s="2" t="s">
        <v>550</v>
      </c>
      <c r="C1172" s="6">
        <f>31789+32083+51612</f>
        <v>115484</v>
      </c>
    </row>
    <row r="1173" spans="2:3" ht="18">
      <c r="B1173" s="2" t="s">
        <v>551</v>
      </c>
      <c r="C1173" s="6">
        <f>1079+8824</f>
        <v>9903</v>
      </c>
    </row>
    <row r="1174" spans="2:3" ht="18">
      <c r="B1174" s="2" t="s">
        <v>120</v>
      </c>
      <c r="C1174" s="6">
        <f>45223</f>
        <v>45223</v>
      </c>
    </row>
    <row r="1176" spans="2:3" ht="18">
      <c r="B1176" s="2" t="s">
        <v>85</v>
      </c>
      <c r="C1176" s="6">
        <f>5873+5490+2819+2563</f>
        <v>16745</v>
      </c>
    </row>
    <row r="1177" spans="2:3" ht="18">
      <c r="B1177" s="2" t="s">
        <v>86</v>
      </c>
      <c r="C1177" s="6"/>
    </row>
    <row r="1178" spans="2:3" ht="18">
      <c r="B1178" s="2" t="s">
        <v>83</v>
      </c>
      <c r="C1178" s="6">
        <f>447+68+29+29</f>
        <v>573</v>
      </c>
    </row>
    <row r="1179" spans="2:3" ht="18">
      <c r="B1179" s="2" t="s">
        <v>84</v>
      </c>
      <c r="C1179" s="6">
        <f>1288</f>
        <v>1288</v>
      </c>
    </row>
    <row r="1180" spans="2:3" ht="18">
      <c r="B1180" s="2" t="s">
        <v>87</v>
      </c>
      <c r="C1180" s="6">
        <f>539+392+1120+420+726+830+410</f>
        <v>4437</v>
      </c>
    </row>
    <row r="1181" spans="2:3" ht="18">
      <c r="B1181" s="2" t="s">
        <v>88</v>
      </c>
      <c r="C1181" s="6"/>
    </row>
    <row r="1182" spans="2:3" ht="18">
      <c r="B1182" s="2" t="s">
        <v>89</v>
      </c>
      <c r="C1182" s="6"/>
    </row>
    <row r="1183" ht="18">
      <c r="C1183" s="7">
        <f>SUM(C1152:C1180)</f>
        <v>237811</v>
      </c>
    </row>
    <row r="1184" spans="1:4" ht="20.25">
      <c r="A1184" s="1" t="s">
        <v>224</v>
      </c>
      <c r="B1184" s="8" t="s">
        <v>2</v>
      </c>
      <c r="D1184" s="7">
        <v>213010.2</v>
      </c>
    </row>
    <row r="1185" spans="1:3" ht="18">
      <c r="A1185" s="1" t="s">
        <v>268</v>
      </c>
      <c r="B1185" s="2" t="s">
        <v>80</v>
      </c>
      <c r="C1185" s="6">
        <f>168+1412</f>
        <v>1580</v>
      </c>
    </row>
    <row r="1186" spans="1:3" ht="18">
      <c r="A1186" s="1" t="s">
        <v>269</v>
      </c>
      <c r="B1186" s="2" t="s">
        <v>158</v>
      </c>
      <c r="C1186" s="6"/>
    </row>
    <row r="1187" spans="2:3" ht="18">
      <c r="B1187" s="2" t="s">
        <v>102</v>
      </c>
      <c r="C1187" s="6"/>
    </row>
    <row r="1188" spans="2:3" ht="18">
      <c r="B1188" s="2" t="s">
        <v>117</v>
      </c>
      <c r="C1188" s="6"/>
    </row>
    <row r="1189" spans="2:3" ht="18">
      <c r="B1189" s="4" t="s">
        <v>440</v>
      </c>
      <c r="C1189" s="6">
        <f>3596</f>
        <v>3596</v>
      </c>
    </row>
    <row r="1190" spans="2:3" ht="18">
      <c r="B1190" s="2" t="s">
        <v>135</v>
      </c>
      <c r="C1190" s="6"/>
    </row>
    <row r="1191" spans="2:3" ht="18">
      <c r="B1191" s="2" t="s">
        <v>552</v>
      </c>
      <c r="C1191" s="6">
        <f>59575+42896</f>
        <v>102471</v>
      </c>
    </row>
    <row r="1192" spans="2:3" ht="18">
      <c r="B1192" s="2" t="s">
        <v>384</v>
      </c>
      <c r="C1192" s="6">
        <f>1087</f>
        <v>1087</v>
      </c>
    </row>
    <row r="1193" spans="2:3" ht="18">
      <c r="B1193" s="2" t="s">
        <v>383</v>
      </c>
      <c r="C1193" s="2">
        <f>2097+2655</f>
        <v>4752</v>
      </c>
    </row>
    <row r="1195" spans="2:3" ht="18">
      <c r="B1195" s="2" t="s">
        <v>553</v>
      </c>
      <c r="C1195" s="6">
        <f>507+19384</f>
        <v>19891</v>
      </c>
    </row>
    <row r="1196" spans="2:3" ht="18">
      <c r="B1196" s="2" t="s">
        <v>512</v>
      </c>
      <c r="C1196" s="6">
        <f>3328+4992+745</f>
        <v>9065</v>
      </c>
    </row>
    <row r="1197" spans="2:3" ht="18">
      <c r="B1197" s="2" t="s">
        <v>362</v>
      </c>
      <c r="C1197" s="6">
        <f>527+1178+3413+9173</f>
        <v>14291</v>
      </c>
    </row>
    <row r="1198" spans="2:3" ht="18">
      <c r="B1198" s="2" t="s">
        <v>68</v>
      </c>
      <c r="C1198" s="6"/>
    </row>
    <row r="1199" spans="2:3" ht="18">
      <c r="B1199" s="2" t="s">
        <v>554</v>
      </c>
      <c r="C1199" s="6">
        <f>3778</f>
        <v>3778</v>
      </c>
    </row>
    <row r="1200" spans="2:3" ht="18">
      <c r="B1200" s="2" t="s">
        <v>12</v>
      </c>
      <c r="C1200" s="6"/>
    </row>
    <row r="1201" spans="2:3" ht="18">
      <c r="B1201" s="2" t="s">
        <v>468</v>
      </c>
      <c r="C1201" s="6">
        <f>17824+28673</f>
        <v>46497</v>
      </c>
    </row>
    <row r="1202" spans="2:3" ht="18">
      <c r="B1202" s="2" t="s">
        <v>93</v>
      </c>
      <c r="C1202" s="6"/>
    </row>
    <row r="1203" spans="2:3" ht="18">
      <c r="B1203" s="2" t="s">
        <v>120</v>
      </c>
      <c r="C1203" s="6">
        <f>24662</f>
        <v>24662</v>
      </c>
    </row>
    <row r="1205" spans="2:3" ht="18">
      <c r="B1205" s="2" t="s">
        <v>85</v>
      </c>
      <c r="C1205" s="6">
        <f>2745+2691+2563</f>
        <v>7999</v>
      </c>
    </row>
    <row r="1206" spans="2:3" ht="18">
      <c r="B1206" s="2" t="s">
        <v>86</v>
      </c>
      <c r="C1206" s="6"/>
    </row>
    <row r="1207" spans="2:3" ht="18">
      <c r="B1207" s="2" t="s">
        <v>83</v>
      </c>
      <c r="C1207" s="6">
        <f>168+34+29+29</f>
        <v>260</v>
      </c>
    </row>
    <row r="1208" spans="2:3" ht="18">
      <c r="B1208" s="2" t="s">
        <v>133</v>
      </c>
      <c r="C1208" s="6">
        <f>2476</f>
        <v>2476</v>
      </c>
    </row>
    <row r="1209" spans="2:3" ht="18">
      <c r="B1209" s="2" t="s">
        <v>87</v>
      </c>
      <c r="C1209" s="6">
        <f>588+588+581+560+439+280+233</f>
        <v>3269</v>
      </c>
    </row>
    <row r="1210" spans="2:3" ht="18">
      <c r="B1210" s="2" t="s">
        <v>88</v>
      </c>
      <c r="C1210" s="6">
        <f>1071</f>
        <v>1071</v>
      </c>
    </row>
    <row r="1211" spans="2:3" ht="18">
      <c r="B1211" s="2" t="s">
        <v>89</v>
      </c>
      <c r="C1211" s="6"/>
    </row>
    <row r="1212" ht="18">
      <c r="C1212" s="7">
        <f>SUM(C1186:C1210)</f>
        <v>245165</v>
      </c>
    </row>
    <row r="1213" spans="1:4" ht="20.25">
      <c r="A1213" s="1" t="s">
        <v>224</v>
      </c>
      <c r="B1213" s="8" t="s">
        <v>15</v>
      </c>
      <c r="D1213" s="7">
        <v>377617.5</v>
      </c>
    </row>
    <row r="1214" spans="1:3" ht="18">
      <c r="A1214" s="1" t="s">
        <v>53</v>
      </c>
      <c r="B1214" s="2" t="s">
        <v>158</v>
      </c>
      <c r="C1214" s="6"/>
    </row>
    <row r="1215" spans="1:3" ht="18">
      <c r="A1215" s="1" t="s">
        <v>270</v>
      </c>
      <c r="B1215" s="2" t="s">
        <v>159</v>
      </c>
      <c r="C1215" s="6"/>
    </row>
    <row r="1216" spans="2:3" ht="18">
      <c r="B1216" s="2" t="s">
        <v>301</v>
      </c>
      <c r="C1216" s="6"/>
    </row>
    <row r="1217" spans="2:3" ht="18">
      <c r="B1217" s="2" t="s">
        <v>326</v>
      </c>
      <c r="C1217" s="6"/>
    </row>
    <row r="1218" spans="2:3" ht="18">
      <c r="B1218" s="2" t="s">
        <v>135</v>
      </c>
      <c r="C1218" s="6"/>
    </row>
    <row r="1219" spans="2:3" ht="18">
      <c r="B1219" s="2" t="s">
        <v>555</v>
      </c>
      <c r="C1219" s="6">
        <f>25511</f>
        <v>25511</v>
      </c>
    </row>
    <row r="1220" spans="2:3" ht="18">
      <c r="B1220" s="2" t="s">
        <v>152</v>
      </c>
      <c r="C1220" s="6"/>
    </row>
    <row r="1221" spans="2:3" ht="18">
      <c r="B1221" s="2" t="s">
        <v>285</v>
      </c>
      <c r="C1221" s="6"/>
    </row>
    <row r="1222" spans="2:3" ht="18">
      <c r="B1222" s="4" t="s">
        <v>357</v>
      </c>
      <c r="C1222" s="6">
        <f>3467</f>
        <v>3467</v>
      </c>
    </row>
    <row r="1223" spans="2:3" ht="18">
      <c r="B1223" s="2" t="s">
        <v>556</v>
      </c>
      <c r="C1223" s="6">
        <f>184585+397175+190649</f>
        <v>772409</v>
      </c>
    </row>
    <row r="1224" spans="2:3" ht="18">
      <c r="B1224" s="2" t="s">
        <v>117</v>
      </c>
      <c r="C1224" s="6"/>
    </row>
    <row r="1225" spans="2:3" ht="18">
      <c r="B1225" s="2" t="s">
        <v>353</v>
      </c>
      <c r="C1225" s="6"/>
    </row>
    <row r="1226" spans="2:3" ht="18">
      <c r="B1226" s="2" t="s">
        <v>9</v>
      </c>
      <c r="C1226" s="6"/>
    </row>
    <row r="1227" spans="2:3" ht="18">
      <c r="B1227" s="2" t="s">
        <v>80</v>
      </c>
      <c r="C1227" s="6">
        <f>6246</f>
        <v>6246</v>
      </c>
    </row>
    <row r="1229" spans="2:3" ht="18">
      <c r="B1229" s="2" t="s">
        <v>507</v>
      </c>
      <c r="C1229" s="6">
        <f>1244+1456+1262+3178</f>
        <v>7140</v>
      </c>
    </row>
    <row r="1230" spans="2:3" ht="18">
      <c r="B1230" s="2" t="s">
        <v>537</v>
      </c>
      <c r="C1230" s="6">
        <f>807+1614+9228+824</f>
        <v>12473</v>
      </c>
    </row>
    <row r="1231" spans="2:3" ht="18">
      <c r="B1231" s="2" t="s">
        <v>73</v>
      </c>
      <c r="C1231" s="6"/>
    </row>
    <row r="1232" spans="2:3" ht="18">
      <c r="B1232" s="2" t="s">
        <v>12</v>
      </c>
      <c r="C1232" s="6"/>
    </row>
    <row r="1233" spans="2:3" ht="18">
      <c r="B1233" s="2" t="s">
        <v>142</v>
      </c>
      <c r="C1233" s="6"/>
    </row>
    <row r="1234" spans="2:3" ht="18">
      <c r="B1234" s="2" t="s">
        <v>348</v>
      </c>
      <c r="C1234" s="6"/>
    </row>
    <row r="1235" spans="2:3" ht="18">
      <c r="B1235" s="2" t="s">
        <v>141</v>
      </c>
      <c r="C1235" s="6"/>
    </row>
    <row r="1236" spans="2:3" ht="18">
      <c r="B1236" s="2" t="s">
        <v>429</v>
      </c>
      <c r="C1236" s="6">
        <f>1405+4891+1281+2731</f>
        <v>10308</v>
      </c>
    </row>
    <row r="1237" spans="2:3" ht="18">
      <c r="B1237" s="2" t="s">
        <v>74</v>
      </c>
      <c r="C1237" s="6"/>
    </row>
    <row r="1238" spans="2:3" ht="18">
      <c r="B1238" s="2" t="s">
        <v>120</v>
      </c>
      <c r="C1238" s="6">
        <f>42482</f>
        <v>42482</v>
      </c>
    </row>
    <row r="1240" spans="2:3" ht="18">
      <c r="B1240" s="2" t="s">
        <v>85</v>
      </c>
      <c r="C1240" s="6">
        <f>5490+2691+3075+5382+2563</f>
        <v>19201</v>
      </c>
    </row>
    <row r="1241" spans="2:3" ht="18">
      <c r="B1241" s="2" t="s">
        <v>86</v>
      </c>
      <c r="C1241" s="6"/>
    </row>
    <row r="1242" spans="2:3" ht="18">
      <c r="B1242" s="2" t="s">
        <v>83</v>
      </c>
      <c r="C1242" s="6">
        <f>68+29+67+77+29</f>
        <v>270</v>
      </c>
    </row>
    <row r="1243" spans="2:3" ht="18">
      <c r="B1243" s="2" t="s">
        <v>84</v>
      </c>
      <c r="C1243" s="6">
        <f>2626+1141</f>
        <v>3767</v>
      </c>
    </row>
    <row r="1244" spans="2:3" ht="18">
      <c r="B1244" s="2" t="s">
        <v>87</v>
      </c>
      <c r="C1244" s="6">
        <f>588+364+373</f>
        <v>1325</v>
      </c>
    </row>
    <row r="1245" spans="2:3" ht="18">
      <c r="B1245" s="2" t="s">
        <v>88</v>
      </c>
      <c r="C1245" s="6"/>
    </row>
    <row r="1246" spans="2:3" ht="18">
      <c r="B1246" s="2" t="s">
        <v>95</v>
      </c>
      <c r="C1246" s="6"/>
    </row>
    <row r="1247" spans="2:3" ht="18">
      <c r="B1247" s="2" t="s">
        <v>89</v>
      </c>
      <c r="C1247" s="6"/>
    </row>
    <row r="1248" ht="18">
      <c r="C1248" s="7">
        <f>SUM(C1214:C1246)</f>
        <v>904599</v>
      </c>
    </row>
    <row r="1249" spans="1:4" ht="20.25">
      <c r="A1249" s="1" t="s">
        <v>224</v>
      </c>
      <c r="B1249" s="8" t="s">
        <v>47</v>
      </c>
      <c r="D1249" s="7">
        <v>125225.1</v>
      </c>
    </row>
    <row r="1250" spans="1:3" ht="18">
      <c r="A1250" s="1" t="s">
        <v>57</v>
      </c>
      <c r="B1250" s="4" t="s">
        <v>161</v>
      </c>
      <c r="C1250" s="6"/>
    </row>
    <row r="1251" spans="1:3" ht="18">
      <c r="A1251" s="1" t="s">
        <v>271</v>
      </c>
      <c r="B1251" s="2" t="s">
        <v>80</v>
      </c>
      <c r="C1251" s="6"/>
    </row>
    <row r="1252" spans="2:3" ht="18">
      <c r="B1252" s="2" t="s">
        <v>117</v>
      </c>
      <c r="C1252" s="6"/>
    </row>
    <row r="1253" spans="2:3" ht="18">
      <c r="B1253" s="2" t="s">
        <v>377</v>
      </c>
      <c r="C1253" s="6">
        <f>3991</f>
        <v>3991</v>
      </c>
    </row>
    <row r="1254" spans="2:3" ht="18">
      <c r="B1254" s="2" t="s">
        <v>498</v>
      </c>
      <c r="C1254" s="6"/>
    </row>
    <row r="1255" spans="2:3" ht="18">
      <c r="B1255" s="2" t="s">
        <v>557</v>
      </c>
      <c r="C1255" s="6">
        <f>16719</f>
        <v>16719</v>
      </c>
    </row>
    <row r="1256" spans="2:3" ht="18">
      <c r="B1256" s="4" t="s">
        <v>135</v>
      </c>
      <c r="C1256" s="6"/>
    </row>
    <row r="1257" ht="20.25">
      <c r="B1257" s="8"/>
    </row>
    <row r="1258" spans="2:3" ht="18">
      <c r="B1258" s="2" t="s">
        <v>66</v>
      </c>
      <c r="C1258" s="6"/>
    </row>
    <row r="1259" spans="2:3" ht="18">
      <c r="B1259" s="2" t="s">
        <v>406</v>
      </c>
      <c r="C1259" s="6">
        <f>745+3017</f>
        <v>3762</v>
      </c>
    </row>
    <row r="1260" spans="2:4" ht="18">
      <c r="B1260" s="2" t="s">
        <v>429</v>
      </c>
      <c r="C1260" s="6">
        <f>8022</f>
        <v>8022</v>
      </c>
      <c r="D1260" s="3" t="s">
        <v>534</v>
      </c>
    </row>
    <row r="1261" spans="2:3" ht="18">
      <c r="B1261" s="2" t="s">
        <v>558</v>
      </c>
      <c r="C1261" s="6">
        <f>1261</f>
        <v>1261</v>
      </c>
    </row>
    <row r="1262" spans="2:3" ht="18">
      <c r="B1262" s="2" t="s">
        <v>351</v>
      </c>
      <c r="C1262" s="6"/>
    </row>
    <row r="1263" spans="2:3" ht="18">
      <c r="B1263" s="2" t="s">
        <v>515</v>
      </c>
      <c r="C1263" s="6">
        <f>10694+17204</f>
        <v>27898</v>
      </c>
    </row>
    <row r="1264" spans="2:3" ht="18">
      <c r="B1264" s="2" t="s">
        <v>76</v>
      </c>
      <c r="C1264" s="6"/>
    </row>
    <row r="1265" spans="2:3" ht="18">
      <c r="B1265" s="2" t="s">
        <v>120</v>
      </c>
      <c r="C1265" s="6">
        <f>14290</f>
        <v>14290</v>
      </c>
    </row>
    <row r="1267" spans="2:3" ht="18">
      <c r="B1267" s="2" t="s">
        <v>85</v>
      </c>
      <c r="C1267" s="6">
        <f>2745</f>
        <v>2745</v>
      </c>
    </row>
    <row r="1268" spans="2:3" ht="18">
      <c r="B1268" s="2" t="s">
        <v>86</v>
      </c>
      <c r="C1268" s="6"/>
    </row>
    <row r="1269" spans="2:3" ht="18">
      <c r="B1269" s="2" t="s">
        <v>83</v>
      </c>
      <c r="C1269" s="6">
        <f>168</f>
        <v>168</v>
      </c>
    </row>
    <row r="1270" spans="2:3" ht="18">
      <c r="B1270" s="2" t="s">
        <v>84</v>
      </c>
      <c r="C1270" s="6"/>
    </row>
    <row r="1271" spans="2:3" ht="18">
      <c r="B1271" s="2" t="s">
        <v>87</v>
      </c>
      <c r="C1271" s="6">
        <f>196+385</f>
        <v>581</v>
      </c>
    </row>
    <row r="1272" spans="2:3" ht="18">
      <c r="B1272" s="2" t="s">
        <v>88</v>
      </c>
      <c r="C1272" s="6"/>
    </row>
    <row r="1273" spans="2:3" ht="18">
      <c r="B1273" s="2" t="s">
        <v>89</v>
      </c>
      <c r="C1273" s="6"/>
    </row>
    <row r="1274" ht="18">
      <c r="C1274" s="7">
        <f>SUM(C1250:C1272)</f>
        <v>79437</v>
      </c>
    </row>
    <row r="1275" spans="1:4" ht="20.25">
      <c r="A1275" s="1" t="s">
        <v>272</v>
      </c>
      <c r="B1275" s="8" t="s">
        <v>30</v>
      </c>
      <c r="D1275" s="7">
        <v>396758.7</v>
      </c>
    </row>
    <row r="1276" spans="1:3" ht="18">
      <c r="A1276" s="1" t="s">
        <v>273</v>
      </c>
      <c r="B1276" s="4" t="s">
        <v>158</v>
      </c>
      <c r="C1276" s="6"/>
    </row>
    <row r="1277" spans="1:3" ht="18">
      <c r="A1277" s="1" t="s">
        <v>274</v>
      </c>
      <c r="B1277" s="2" t="s">
        <v>80</v>
      </c>
      <c r="C1277" s="6"/>
    </row>
    <row r="1278" spans="2:3" ht="18">
      <c r="B1278" s="2" t="s">
        <v>117</v>
      </c>
      <c r="C1278" s="6"/>
    </row>
    <row r="1279" spans="2:3" ht="18">
      <c r="B1279" s="2" t="s">
        <v>559</v>
      </c>
      <c r="C1279" s="6">
        <f>111604</f>
        <v>111604</v>
      </c>
    </row>
    <row r="1280" spans="2:3" ht="18">
      <c r="B1280" s="2" t="s">
        <v>366</v>
      </c>
      <c r="C1280" s="6"/>
    </row>
    <row r="1281" spans="2:3" ht="18">
      <c r="B1281" s="2" t="s">
        <v>288</v>
      </c>
      <c r="C1281" s="6"/>
    </row>
    <row r="1282" spans="2:3" ht="18">
      <c r="B1282" s="2" t="s">
        <v>517</v>
      </c>
      <c r="C1282" s="6">
        <f>19858</f>
        <v>19858</v>
      </c>
    </row>
    <row r="1283" ht="20.25">
      <c r="B1283" s="10"/>
    </row>
    <row r="1284" spans="2:3" ht="18">
      <c r="B1284" s="2" t="s">
        <v>560</v>
      </c>
      <c r="C1284" s="6">
        <f>1014+2951+8009</f>
        <v>11974</v>
      </c>
    </row>
    <row r="1285" spans="2:3" ht="18">
      <c r="B1285" s="2" t="s">
        <v>406</v>
      </c>
      <c r="C1285" s="6">
        <f>1543+5799</f>
        <v>7342</v>
      </c>
    </row>
    <row r="1286" spans="2:3" ht="18">
      <c r="B1286" s="2" t="s">
        <v>561</v>
      </c>
      <c r="C1286" s="6">
        <f>1243</f>
        <v>1243</v>
      </c>
    </row>
    <row r="1287" spans="2:3" ht="18">
      <c r="B1287" s="2" t="s">
        <v>562</v>
      </c>
      <c r="C1287" s="6">
        <f>822+9997</f>
        <v>10819</v>
      </c>
    </row>
    <row r="1288" spans="2:3" ht="18">
      <c r="B1288" s="2" t="s">
        <v>386</v>
      </c>
      <c r="C1288" s="6">
        <f>4060+702+5351</f>
        <v>10113</v>
      </c>
    </row>
    <row r="1289" spans="2:3" ht="18">
      <c r="B1289" s="2" t="s">
        <v>104</v>
      </c>
      <c r="C1289" s="6"/>
    </row>
    <row r="1290" spans="2:3" ht="18">
      <c r="B1290" s="2" t="s">
        <v>121</v>
      </c>
      <c r="C1290" s="6"/>
    </row>
    <row r="1291" spans="2:3" ht="18">
      <c r="B1291" s="2" t="s">
        <v>12</v>
      </c>
      <c r="C1291" s="6"/>
    </row>
    <row r="1292" spans="2:3" ht="18">
      <c r="B1292" s="2" t="s">
        <v>120</v>
      </c>
      <c r="C1292" s="6">
        <f>45899</f>
        <v>45899</v>
      </c>
    </row>
    <row r="1294" spans="2:3" ht="18">
      <c r="B1294" s="2" t="s">
        <v>85</v>
      </c>
      <c r="C1294" s="6">
        <f>2563</f>
        <v>2563</v>
      </c>
    </row>
    <row r="1295" spans="2:3" ht="18">
      <c r="B1295" s="2" t="s">
        <v>86</v>
      </c>
      <c r="C1295" s="6"/>
    </row>
    <row r="1296" spans="2:3" ht="18">
      <c r="B1296" s="2" t="s">
        <v>83</v>
      </c>
      <c r="C1296" s="6">
        <f>19+48</f>
        <v>67</v>
      </c>
    </row>
    <row r="1297" spans="2:3" ht="18">
      <c r="B1297" s="2" t="s">
        <v>84</v>
      </c>
      <c r="C1297" s="6">
        <f>1313+1313</f>
        <v>2626</v>
      </c>
    </row>
    <row r="1298" spans="2:3" ht="18">
      <c r="B1298" s="2" t="s">
        <v>87</v>
      </c>
      <c r="C1298" s="6">
        <f>98+92+49+283+475+223</f>
        <v>1220</v>
      </c>
    </row>
    <row r="1299" spans="2:3" ht="18">
      <c r="B1299" s="2" t="s">
        <v>88</v>
      </c>
      <c r="C1299" s="6">
        <f>505</f>
        <v>505</v>
      </c>
    </row>
    <row r="1300" spans="2:3" ht="18">
      <c r="B1300" s="2" t="s">
        <v>89</v>
      </c>
      <c r="C1300" s="6"/>
    </row>
    <row r="1301" ht="18">
      <c r="C1301" s="7">
        <f>SUM(C1276:C1299)</f>
        <v>225833</v>
      </c>
    </row>
    <row r="1302" spans="1:4" ht="20.25">
      <c r="A1302" s="1" t="s">
        <v>205</v>
      </c>
      <c r="B1302" s="8" t="s">
        <v>29</v>
      </c>
      <c r="D1302" s="7">
        <v>204533.6</v>
      </c>
    </row>
    <row r="1303" spans="1:3" ht="18">
      <c r="A1303" s="1" t="s">
        <v>275</v>
      </c>
      <c r="B1303" s="2" t="s">
        <v>162</v>
      </c>
      <c r="C1303" s="6"/>
    </row>
    <row r="1304" spans="1:3" ht="18">
      <c r="A1304" s="1" t="s">
        <v>276</v>
      </c>
      <c r="B1304" s="2" t="s">
        <v>147</v>
      </c>
      <c r="C1304" s="6">
        <v>0</v>
      </c>
    </row>
    <row r="1305" spans="2:3" ht="18">
      <c r="B1305" s="2" t="s">
        <v>80</v>
      </c>
      <c r="C1305" s="6">
        <f>2321</f>
        <v>2321</v>
      </c>
    </row>
    <row r="1306" spans="2:3" ht="18">
      <c r="B1306" s="2" t="s">
        <v>145</v>
      </c>
      <c r="C1306" s="6"/>
    </row>
    <row r="1307" spans="2:3" ht="18">
      <c r="B1307" s="2" t="s">
        <v>169</v>
      </c>
      <c r="C1307" s="6"/>
    </row>
    <row r="1308" spans="2:3" ht="18">
      <c r="B1308" s="2" t="s">
        <v>117</v>
      </c>
      <c r="C1308" s="6"/>
    </row>
    <row r="1309" spans="2:3" ht="18">
      <c r="B1309" s="2" t="s">
        <v>427</v>
      </c>
      <c r="C1309" s="6"/>
    </row>
    <row r="1311" spans="2:3" ht="18">
      <c r="B1311" s="2" t="s">
        <v>563</v>
      </c>
      <c r="C1311" s="6">
        <f>834+4318+1476+2321+2364</f>
        <v>11313</v>
      </c>
    </row>
    <row r="1312" spans="2:3" ht="18">
      <c r="B1312" s="2" t="s">
        <v>397</v>
      </c>
      <c r="C1312" s="6">
        <f>824+1900</f>
        <v>2724</v>
      </c>
    </row>
    <row r="1313" spans="2:3" ht="18">
      <c r="B1313" s="2" t="s">
        <v>564</v>
      </c>
      <c r="C1313" s="6">
        <f>1234+1659+822</f>
        <v>3715</v>
      </c>
    </row>
    <row r="1314" spans="2:3" ht="18">
      <c r="B1314" s="2" t="s">
        <v>565</v>
      </c>
      <c r="C1314" s="6">
        <v>803</v>
      </c>
    </row>
    <row r="1315" spans="2:3" ht="18">
      <c r="B1315" s="2" t="s">
        <v>12</v>
      </c>
      <c r="C1315" s="6"/>
    </row>
    <row r="1316" spans="2:3" ht="18">
      <c r="B1316" s="2" t="s">
        <v>142</v>
      </c>
      <c r="C1316" s="6"/>
    </row>
    <row r="1317" spans="2:3" ht="18">
      <c r="B1317" s="2" t="s">
        <v>566</v>
      </c>
      <c r="C1317" s="6">
        <f>3649+9095+702+1571</f>
        <v>15017</v>
      </c>
    </row>
    <row r="1318" spans="2:3" ht="18">
      <c r="B1318" s="2" t="s">
        <v>120</v>
      </c>
      <c r="C1318" s="6">
        <f>23419</f>
        <v>23419</v>
      </c>
    </row>
    <row r="1320" spans="2:3" ht="18">
      <c r="B1320" s="2" t="s">
        <v>85</v>
      </c>
      <c r="C1320" s="6">
        <f>9656+2563</f>
        <v>12219</v>
      </c>
    </row>
    <row r="1321" spans="2:3" ht="18">
      <c r="B1321" s="2" t="s">
        <v>86</v>
      </c>
      <c r="C1321" s="6"/>
    </row>
    <row r="1322" spans="2:3" ht="18">
      <c r="B1322" s="2" t="s">
        <v>83</v>
      </c>
      <c r="C1322" s="6">
        <f>134+19+29</f>
        <v>182</v>
      </c>
    </row>
    <row r="1323" spans="2:3" ht="18">
      <c r="B1323" s="2" t="s">
        <v>84</v>
      </c>
      <c r="C1323" s="6">
        <f>1313</f>
        <v>1313</v>
      </c>
    </row>
    <row r="1324" spans="2:3" ht="18">
      <c r="B1324" s="2" t="s">
        <v>87</v>
      </c>
      <c r="C1324" s="6">
        <f>196+196+455+262</f>
        <v>1109</v>
      </c>
    </row>
    <row r="1325" spans="2:3" ht="18">
      <c r="B1325" s="2" t="s">
        <v>88</v>
      </c>
      <c r="C1325" s="6"/>
    </row>
    <row r="1326" spans="2:3" ht="18">
      <c r="B1326" s="2" t="s">
        <v>89</v>
      </c>
      <c r="C1326" s="6"/>
    </row>
    <row r="1327" ht="18">
      <c r="C1327" s="7">
        <f>SUM(C1303:C1325)</f>
        <v>74135</v>
      </c>
    </row>
    <row r="1328" ht="20.25">
      <c r="B1328" s="8" t="s">
        <v>82</v>
      </c>
    </row>
    <row r="1330" spans="2:3" ht="18">
      <c r="B1330" s="2" t="s">
        <v>106</v>
      </c>
      <c r="C1330" s="6">
        <f>13606+16292+27720+22687+C490+C651+C682+C1193+39814+22849+17566+20174+20174</f>
        <v>228503</v>
      </c>
    </row>
    <row r="1331" spans="2:3" ht="18">
      <c r="B1331" s="2" t="s">
        <v>81</v>
      </c>
      <c r="C1331" s="6">
        <f>27861</f>
        <v>27861</v>
      </c>
    </row>
    <row r="1334" spans="3:4" ht="18">
      <c r="C1334" s="7">
        <f>SUM(C1330:C1332)</f>
        <v>256364</v>
      </c>
      <c r="D1334" s="14">
        <f>D4+D27+D51+D76+D104+D126+D156+D194+D214+D238+D272+D303+D332+D357+D407+D431+D463+D481+D521+D553+D580+D612+D637+D673+D700+D736+D768+D802+D832+D859+D894+D914+D943+D975+D1003+D1032+D1063+D1090+D1124+D1151+D1184+D1213+D1249+D1275+D1302</f>
        <v>9086320.999999998</v>
      </c>
    </row>
    <row r="1335" ht="18">
      <c r="B1335" s="7" t="s">
        <v>305</v>
      </c>
    </row>
    <row r="1337" ht="18">
      <c r="B1337" s="7" t="s">
        <v>304</v>
      </c>
    </row>
    <row r="1338" spans="2:3" ht="18">
      <c r="B1338" s="2" t="s">
        <v>567</v>
      </c>
      <c r="C1338" s="2">
        <f>C7+C28+C57+C105+C128+C158+C195+C218+C244+C279+C306+C335+C362+C410+C437+C464+C483+C530+C556+C589+C641+C675+C702+C737+C773+C806+C836+C863+C895+C917+C944+C978+C1008+C1033+C1066+C1094+C1126+C1153+C1186+C1214+C1276</f>
        <v>46515</v>
      </c>
    </row>
    <row r="1339" spans="2:3" ht="18">
      <c r="B1339" s="2" t="s">
        <v>49</v>
      </c>
      <c r="C1339" s="2">
        <f>C6+C29+C52+C77+C108+C130+C160+C196+C215+C241+C282+C304+C333+C358+C412+C436+C482+C465+C523+C558+C581+C616+C640+C674+C705+C741+C779+C814+C833+C865+C915+C945+C985+C1013+C1035+C1072+C1091+C1125+C1164+C1185+C1227+C1251+C1277+C1305</f>
        <v>70843</v>
      </c>
    </row>
    <row r="1340" spans="2:3" ht="18">
      <c r="B1340" s="2" t="s">
        <v>373</v>
      </c>
      <c r="C1340" s="2">
        <f>C1070</f>
        <v>14119</v>
      </c>
    </row>
    <row r="1341" ht="18">
      <c r="B1341" s="2" t="s">
        <v>48</v>
      </c>
    </row>
    <row r="1342" spans="2:3" ht="18">
      <c r="B1342" s="2" t="s">
        <v>333</v>
      </c>
      <c r="C1342" s="2">
        <f>C33+C613+C743+C781</f>
        <v>2315</v>
      </c>
    </row>
    <row r="1343" spans="2:3" ht="18">
      <c r="B1343" s="2" t="s">
        <v>103</v>
      </c>
      <c r="C1343" s="2">
        <f>C161+C277+C776+C1155</f>
        <v>8464</v>
      </c>
    </row>
    <row r="1344" spans="2:3" ht="18">
      <c r="B1344" s="2" t="s">
        <v>112</v>
      </c>
      <c r="C1344" s="2">
        <f>C677+C835+C1099</f>
        <v>0</v>
      </c>
    </row>
    <row r="1345" spans="2:3" ht="18">
      <c r="B1345" s="2" t="s">
        <v>568</v>
      </c>
      <c r="C1345" s="2">
        <f>C167+C240+C334+C360+C433+C485+C584+C770+C981+C1092+C1127+C1163</f>
        <v>20157</v>
      </c>
    </row>
    <row r="1346" spans="2:3" ht="18">
      <c r="B1346" s="2" t="s">
        <v>569</v>
      </c>
      <c r="C1346" s="2">
        <f>C273+C131+C864+C1219</f>
        <v>75084</v>
      </c>
    </row>
    <row r="1347" spans="2:3" ht="18">
      <c r="B1347" s="2" t="s">
        <v>51</v>
      </c>
      <c r="C1347" s="2">
        <f>C30+C79+C129+C216+C275+C585+C771+C810+C834+C862+C1067</f>
        <v>1797</v>
      </c>
    </row>
    <row r="1348" spans="2:3" ht="18">
      <c r="B1348" s="2" t="s">
        <v>372</v>
      </c>
      <c r="C1348" s="2">
        <f>C127+C170+C248+C276+C309+C341+C363+C408+C489+C531+C554+C588+C638+C711+C740+C777+C813+C839+C860+C921+C950+C976+C1038+C1064+C1098+C1154+C1226+C1253+C1280+C1303</f>
        <v>54705</v>
      </c>
    </row>
    <row r="1349" spans="2:3" ht="18">
      <c r="B1349" s="2" t="s">
        <v>314</v>
      </c>
      <c r="C1349" s="2">
        <f>C440+C491+C494+C535+C643+C715+C775+C1097+C1159+C1216</f>
        <v>3060</v>
      </c>
    </row>
    <row r="1350" spans="2:3" ht="18">
      <c r="B1350" s="2" t="s">
        <v>58</v>
      </c>
      <c r="C1350" s="2">
        <f>C1330+C1331+C1332+C532</f>
        <v>256364</v>
      </c>
    </row>
    <row r="1351" spans="2:3" ht="18">
      <c r="B1351" s="2" t="s">
        <v>476</v>
      </c>
      <c r="C1351" s="2">
        <f>C648</f>
        <v>11113</v>
      </c>
    </row>
    <row r="1352" spans="2:3" ht="18">
      <c r="B1352" s="2" t="s">
        <v>127</v>
      </c>
      <c r="C1352" s="2">
        <f>C83+C137+C159+C251+C283+C365+C442+C591+C716+C838+C872+C920+C953+C1014+C1042+C1103+C1132+C1191+C1223+C1255+C1282+C1309+C617</f>
        <v>1415901</v>
      </c>
    </row>
    <row r="1353" spans="2:3" ht="18">
      <c r="B1353" s="4" t="s">
        <v>152</v>
      </c>
      <c r="C1353" s="2">
        <f>C56+C438+C497+C712+C812+C1045+C1069+C1158+C1220</f>
        <v>9592</v>
      </c>
    </row>
    <row r="1354" spans="2:3" ht="18">
      <c r="B1354" s="4" t="s">
        <v>155</v>
      </c>
      <c r="C1354" s="2">
        <f>C281+C561+C590+C678+C743</f>
        <v>767</v>
      </c>
    </row>
    <row r="1355" spans="2:3" ht="18">
      <c r="B1355" s="2" t="s">
        <v>149</v>
      </c>
      <c r="C1355" s="2">
        <f>C106+C337+C647+C868+C897+C163+C1217</f>
        <v>29352</v>
      </c>
    </row>
    <row r="1356" spans="2:3" ht="18">
      <c r="B1356" s="2" t="s">
        <v>334</v>
      </c>
      <c r="C1356" s="2">
        <f>C84+C525+C614+C1004+C1040+C1096+C1129</f>
        <v>4520</v>
      </c>
    </row>
    <row r="1357" spans="2:3" ht="18">
      <c r="B1357" s="2" t="s">
        <v>294</v>
      </c>
      <c r="C1357" s="2">
        <f>C645</f>
        <v>0</v>
      </c>
    </row>
    <row r="1358" spans="2:3" ht="18">
      <c r="B1358" s="2" t="s">
        <v>101</v>
      </c>
      <c r="C1358" s="2">
        <f>C774</f>
        <v>2305</v>
      </c>
    </row>
    <row r="1359" ht="18">
      <c r="B1359" s="2" t="s">
        <v>113</v>
      </c>
    </row>
    <row r="1360" spans="2:3" ht="18">
      <c r="B1360" s="2" t="s">
        <v>59</v>
      </c>
      <c r="C1360" s="2">
        <f>C310+C811+C1010</f>
        <v>455286</v>
      </c>
    </row>
    <row r="1361" spans="2:3" ht="18">
      <c r="B1361" s="2" t="s">
        <v>291</v>
      </c>
      <c r="C1361" s="2">
        <f>C165+C496+C646+C714+C1011+C1037+C1102+C1131+C1160+C1281</f>
        <v>1505</v>
      </c>
    </row>
    <row r="1362" spans="2:3" ht="18">
      <c r="B1362" s="2" t="s">
        <v>134</v>
      </c>
      <c r="C1362" s="2">
        <f>C1039</f>
        <v>0</v>
      </c>
    </row>
    <row r="1363" spans="2:3" ht="18">
      <c r="B1363" s="2" t="s">
        <v>344</v>
      </c>
      <c r="C1363" s="2">
        <f>C364+C742+C871</f>
        <v>10086</v>
      </c>
    </row>
    <row r="1364" spans="2:3" ht="18">
      <c r="B1364" s="2" t="s">
        <v>10</v>
      </c>
      <c r="C1364" s="2">
        <f>C55+C278+C435+C486+C557+C703+C746+C772+C808+C952+C1043+C1161+C1254+C1279+C1307</f>
        <v>315629</v>
      </c>
    </row>
    <row r="1365" spans="2:3" ht="18">
      <c r="B1365" s="2" t="s">
        <v>332</v>
      </c>
      <c r="C1365" s="2">
        <f>C219</f>
        <v>0</v>
      </c>
    </row>
    <row r="1366" spans="2:3" ht="18">
      <c r="B1366" s="2" t="s">
        <v>336</v>
      </c>
      <c r="C1366" s="2">
        <f>C246+C311+C713+C778</f>
        <v>52755</v>
      </c>
    </row>
    <row r="1367" spans="2:3" ht="18">
      <c r="B1367" s="2" t="s">
        <v>165</v>
      </c>
      <c r="C1367" s="2">
        <f>C242+C434+C487+C709+C745+C982+C1162</f>
        <v>12167</v>
      </c>
    </row>
    <row r="1368" spans="2:3" ht="18">
      <c r="B1368" s="2" t="s">
        <v>343</v>
      </c>
      <c r="C1368" s="2">
        <f>C679+C983</f>
        <v>0</v>
      </c>
    </row>
    <row r="1369" spans="2:3" ht="18">
      <c r="B1369" s="4" t="s">
        <v>357</v>
      </c>
      <c r="C1369" s="2">
        <f>C172+C438+C708+C780+C866+C954+C1100+C1189+C1222</f>
        <v>16675</v>
      </c>
    </row>
    <row r="1370" spans="2:3" ht="18">
      <c r="B1370" s="4" t="s">
        <v>382</v>
      </c>
      <c r="C1370" s="2">
        <f>5083</f>
        <v>5083</v>
      </c>
    </row>
    <row r="1371" spans="2:3" ht="18">
      <c r="B1371" s="4" t="s">
        <v>125</v>
      </c>
      <c r="C1371" s="2">
        <f>8043</f>
        <v>8043</v>
      </c>
    </row>
    <row r="1372" spans="2:3" ht="18">
      <c r="B1372" s="4" t="s">
        <v>384</v>
      </c>
      <c r="C1372" s="2">
        <f>C168+C250+C874+C1192</f>
        <v>6581</v>
      </c>
    </row>
    <row r="1373" spans="2:3" ht="18">
      <c r="B1373" s="4" t="s">
        <v>385</v>
      </c>
      <c r="C1373" s="2">
        <f>7140+11846</f>
        <v>18986</v>
      </c>
    </row>
    <row r="1374" spans="2:3" ht="18">
      <c r="B1374" s="4" t="s">
        <v>303</v>
      </c>
      <c r="C1374" s="2">
        <f>C10+C34+C58+C109+C197+C220+C653+C681+C841+C896+C1133</f>
        <v>18608</v>
      </c>
    </row>
    <row r="1375" spans="2:3" ht="18">
      <c r="B1375" s="4" t="s">
        <v>396</v>
      </c>
      <c r="C1375" s="2">
        <f>C8+C31+C54+C81+C107+C136+C164+C443+C490+C586+C707+C809+C869+C919</f>
        <v>2420</v>
      </c>
    </row>
    <row r="1376" ht="18">
      <c r="C1376" s="7">
        <f>SUM(C1338:C1375)</f>
        <v>2950797</v>
      </c>
    </row>
    <row r="1378" ht="18">
      <c r="B1378" s="7" t="s">
        <v>306</v>
      </c>
    </row>
    <row r="1379" spans="2:3" ht="18">
      <c r="B1379" s="5" t="s">
        <v>392</v>
      </c>
      <c r="C1379" s="2">
        <f>9332</f>
        <v>9332</v>
      </c>
    </row>
    <row r="1380" spans="2:3" ht="18">
      <c r="B1380" s="2" t="s">
        <v>570</v>
      </c>
      <c r="C1380" s="2">
        <f>C12+C36+C60+C87+C111+C139+C175+C199+C222+C253+C285+C314+C343+C369+C415+C446+C469+C500+C537+C563+C594+C619+C655+C684+C719+C749+C783+C816+C843+C877+C899+C924+C957+C988+C1016+C1047+C1074+C1106+C1135+C1166+C1195+C1229+C1258+C1284+C1311</f>
        <v>457982</v>
      </c>
    </row>
    <row r="1381" spans="2:3" ht="18">
      <c r="B1381" s="2" t="s">
        <v>571</v>
      </c>
      <c r="C1381" s="2">
        <f>C13+C37+C61+C88+C112+C140+C176+C200+C224+C254+C286+C315+C344+C370+C416+C447+C501+C538+C564+C595+C620++C656+C685+C720+C750+C784+C817+C844+C878+C900+C925+C958+C989+C1017+C1048+C1075+C1107+C1136+C1167+C1196+C1230+C1259+C1285+C1312</f>
        <v>182193</v>
      </c>
    </row>
    <row r="1382" spans="2:3" ht="18">
      <c r="B1382" s="2" t="s">
        <v>572</v>
      </c>
      <c r="C1382" s="2">
        <f>C15+C62+C89+C113+C142+C178+C203+C225+C256+C257+C289+C319+C373+C419+C451+C470+C507+C509+C539+C565+C596+C621+C658+C689+C723+C753+C789+C819+C846+C928+C960+C881+C902+C991+C1019+C1049+C1076+C1112+C1140+C1168+C1198+C1237+C1261+C1287+C1313</f>
        <v>201474</v>
      </c>
    </row>
    <row r="1383" spans="2:3" ht="18">
      <c r="B1383" s="2" t="s">
        <v>573</v>
      </c>
      <c r="C1383" s="2">
        <f>C143+C179+C227+C290+C450+C505+C598+C623+C657+C752+C786+C847+C880+C927+C963+C992+C1111+C1139+C1170+C1199+C1235+C1262+C1286+C1314</f>
        <v>58843</v>
      </c>
    </row>
    <row r="1384" spans="2:3" ht="18">
      <c r="B1384" s="2" t="s">
        <v>50</v>
      </c>
      <c r="C1384" s="2">
        <f>C63+C92+C183+C255+C288+C318+C371+C420+C452+C504+C541+C566+C601+C661+C687+C722+C755+C787+C926+C990+C1050+C1078+C1109+C1171+C1200+C1232+C1291+C1315</f>
        <v>68709</v>
      </c>
    </row>
    <row r="1385" spans="2:3" ht="18">
      <c r="B1385" s="2" t="s">
        <v>574</v>
      </c>
      <c r="C1385" s="2">
        <f>C14+C39+C64+C90+C141+C177+C201+C226+C258+C287+C316+C346+C372+C417+C448+C502+C542+C569+C597+C626+C659+C686+C721+C756+C788+C818+C845+C882+C901+C929+C959+C1052+C1077+C1110+C1138+C1173+C1197+C1236+C1260+C1288+C1317</f>
        <v>461534</v>
      </c>
    </row>
    <row r="1386" spans="2:3" ht="18">
      <c r="B1386" s="2" t="s">
        <v>94</v>
      </c>
      <c r="C1386" s="2">
        <f>C38+C144+C182+C202+C260+C291+C317+C345+C374+C418+C449+C503+C540+C568+C600+C624+C660+C754+C785+C821+C848+C879+C903+C931++C961+C987+C1018+C1051+C1079+C1108+C1137+C1169+C1202+C1231+C1264+C1289</f>
        <v>23098</v>
      </c>
    </row>
    <row r="1387" spans="2:3" ht="18">
      <c r="B1387" s="2" t="s">
        <v>52</v>
      </c>
      <c r="C1387" s="2">
        <f>C16+C40+C65+C93+C115+C146+C180+C184+C204+C228+C261+C293+C321+C347+C375+C397+C421+C453+C471+C510+C543+C567+C602+C627+C662+C690+C725+C757+C791+C822+C849+C883+C904+C932+C964+C993+C1021+C1053+C1080+C1114+C1141+C1174+C1203+C1238+C1265+C1292+C1318</f>
        <v>1020088</v>
      </c>
    </row>
    <row r="1388" spans="2:3" ht="18">
      <c r="B1388" s="2" t="s">
        <v>143</v>
      </c>
      <c r="C1388" s="2">
        <f>C91+C114+C145+C181+C224+C259+C292+C320+C508+C599+C625+C688+C790+C930+C962+C1020+C1113+C1172+C1201+C1233+C1263+C1290+C1316</f>
        <v>485711</v>
      </c>
    </row>
    <row r="1389" spans="2:3" ht="18">
      <c r="B1389" s="2" t="s">
        <v>58</v>
      </c>
      <c r="C1389" s="2">
        <f>C724+3+3728+19371</f>
        <v>23915</v>
      </c>
    </row>
    <row r="1392" ht="18">
      <c r="C1392" s="7">
        <f>SUM(C1379:C1390)</f>
        <v>2992879</v>
      </c>
    </row>
    <row r="1394" ht="18">
      <c r="B1394" s="7" t="s">
        <v>307</v>
      </c>
    </row>
    <row r="1395" spans="2:3" ht="18">
      <c r="B1395" s="2" t="s">
        <v>85</v>
      </c>
      <c r="C1395" s="2">
        <f>C18+C42+C67+C95+C117+C206+C148+C186+C230+C263+C295+C323+C349+C377+C423+C455+C473+C512+C545+C572+C604+C629+C664+C692+C727+C759+C793+C824+C851+C885+C906+C934+C966+C995+C1023+C1055+C1082+C1116+C1143+C1176+C1205+C1240+C1267+C1294+C1320</f>
        <v>557816</v>
      </c>
    </row>
    <row r="1396" spans="2:3" ht="18">
      <c r="B1396" s="2" t="s">
        <v>86</v>
      </c>
      <c r="C1396" s="2">
        <f>C19+C43+C68+C96+C118+C207+C149+C187+C231+C264+C296+C324+C350+C378+C424+C456+C474+C513+C546+C573+C605+C630+C665+C693+C728+C760+C794+C825+C852+C886+C907+C935+C967+C996+C1024+C1056+C1083+C1117+C1144+C1177+C1206+C1241+C1268+C1295+C1321</f>
        <v>25342</v>
      </c>
    </row>
    <row r="1397" spans="2:3" ht="18">
      <c r="B1397" s="2" t="s">
        <v>83</v>
      </c>
      <c r="C1397" s="2">
        <f>C20+C44+C69+C97+C119+C208+C150+C188+C232+C265+C297+C325+C351+C379+C425+C457+C475+C514+C547+C574+C606+C631+C666+C694+C729+C761+C795+C826+C853+C887+C908+C936+C968+C997+C1025+C1057+C1084+C1118+C1145+C1178+C1207+C1242+C1269+C1296+C1322</f>
        <v>13578</v>
      </c>
    </row>
    <row r="1398" spans="2:3" ht="18">
      <c r="B1398" s="2" t="s">
        <v>84</v>
      </c>
      <c r="C1398" s="2">
        <f>C21+C45+C70+C98+C120+C209+C151+C189+C233+C266+C298+C326+C352+C380+C426+C458+C476+C515+C548+C575+C607+C632+C667+C695+C730+C762+C796+C827+C854+C888+C909+C937+C969+C998+C1026+C1058+C1085+C1119+C1146+C1179+C1208+C1243+C1270+C1297+C1323</f>
        <v>109357</v>
      </c>
    </row>
    <row r="1399" spans="2:3" ht="18">
      <c r="B1399" s="2" t="s">
        <v>87</v>
      </c>
      <c r="C1399" s="2">
        <f>C22+C46+C71+C99+C121+C210+C152+C190+C234+C267+C299+C327+C353+C381+C427+C459+C477+C516+C549+C576+C608+C633+C668+C696+C731+C763+C797+C828+C855+C889+C910+C938+C970+C999+C1027+C1059+C1086+C1120+C1147+C1180+C1209+C1244+C1271+C1298+C1324</f>
        <v>91226</v>
      </c>
    </row>
    <row r="1400" spans="2:3" ht="18">
      <c r="B1400" s="2" t="s">
        <v>88</v>
      </c>
      <c r="C1400" s="2">
        <f>C23+C47+C72+C101+C122+C211+C153+C191+C235+C268+C300+C328+C354+C382+C428+C460+C478+C518+C550+C577+C609+C634+C669+C697+C732+C764+C798+C829+C856+C890+C911+C939+C971+C1000+C1028+C1060+C1087+C1121+C1148+C1181+C1210+C1245+C1272+C1299+C1325</f>
        <v>46335</v>
      </c>
    </row>
    <row r="1401" spans="2:3" ht="18">
      <c r="B1401" s="2" t="s">
        <v>89</v>
      </c>
      <c r="C1401" s="2">
        <f>C25+C49+C73+C102+C124+C154+C192+C212+C236+C270+C301+C330+C355+C383+C429+C461+C479+C519+C551+C578+C610+C635+C670+C698+C734+C766+C799+C830+C857+C892+C912+C941+C973+C1001+C1030+C1061+C1088+C1122+C1149+C1182+C1211+C1247+C1273+C1300+C1326</f>
        <v>2399</v>
      </c>
    </row>
    <row r="1402" spans="2:3" ht="18">
      <c r="B1402" s="2" t="s">
        <v>95</v>
      </c>
      <c r="C1402" s="2">
        <f>C24+C48+C74+C100+C123+C269+C329+C517+C610+C671+C733+C765+C800+C891+C940+C972+C1029+C1246</f>
        <v>9473</v>
      </c>
    </row>
    <row r="1403" spans="2:3" ht="18">
      <c r="B1403" s="2" t="s">
        <v>82</v>
      </c>
      <c r="C1403" s="2">
        <f>3302+244+13709</f>
        <v>17255</v>
      </c>
    </row>
    <row r="1404" ht="18">
      <c r="C1404" s="7"/>
    </row>
    <row r="1405" ht="18">
      <c r="C1405" s="7">
        <f>SUM(C1395:C1404)</f>
        <v>872781</v>
      </c>
    </row>
    <row r="1410" spans="2:3" ht="18">
      <c r="B1410" s="2" t="s">
        <v>54</v>
      </c>
      <c r="C1410" s="7">
        <f>3641+C6+C7+C8+C9+C10+C31+C33+C34+C54+C58+C81+C83+C107+C109+C130+C131+C136+C159+C160+C161+C164+C168+C196+C197+C220+C240+C241+C246+C250+C251+C273+C277+C279+C282+C310+C337+C364+C408+C410+C433+C435+C436+C438+C443+C465+C482+C483+C486+C487+C489+C490+C531+C556+C583+C584+C585+C586+C589+C591+C613+C616+C617+C641+C648+C651+C653+C674+C675+C682+C703+C705+C707+C708+C709+C711+C712+C713+C715+C742+C743+C772+C773+C774+C776+C778+C779+C781+C806+C809+C810+C811+C812+C814+C833+C836+C839+C864+C865+C866+C869+C871+C874+C897+C919+C944+C950+C953+C954+C982+C1010+C1033+C1037+C1040+C1042+C1045+C1070+C1072+C1103+C1125+C1126+C1127+C1129+C1132+C1155+C1159+C1164+C1185+C1189+C1191+C1192+C1193+C1219+C1222+C1223+C1227+C1253+C1255+C1279+C1282+C1305+C1330+C1331</f>
        <v>2950797</v>
      </c>
    </row>
    <row r="1411" spans="2:3" ht="18">
      <c r="B1411" s="2" t="s">
        <v>55</v>
      </c>
      <c r="C1411" s="7">
        <f>14596+C13+C16+C38+C40+C60+C61+C63+C65+C87+C88+C93+C112+C115+C139+C140+C141+C144+C146+C175+C176+C178+C179+C183+C184+C199+C222+C225+C226+C227+C228+C253+C254+C255+C257+C258+C259+C261+C285+C286+C287+C289+C293+C315+C316+C318+C321+C344+C347+C370+C371+C375+C397+C415+C416+C418+C421+C446+C447+C448+C450+C451+C453+C469+C471+C500+C501+C502+C503+C505+C507+C508+C509+C510+C537+C542+C564+C567+C569+C594+C595+C596+C597+C598+C599+C602+C619+C620+C621+C623+C624+C625+C626+C627+C655+C656+C657+C658+C661+C662++C684+C686+C688+C689+C690+C719+C721+C724+C725+C749+C750+C751+C752+C753+C756+C757+C783+C784+C785+C786+C787+C788+C789+C791+C816+C817+C818+C819+C822+C843+C844+C846+C847+C849+C877+C878+C883+C899+C900+C901+C902+C904+C924+C925+C928+C929+C930+C932+C957+C958+C959+C960+C961+C962+C963+C964+C989+C993+C1016+C1017+C1021+C1047+C1048+C1049+C1052+C1053+C1074+C1075+C1076+C1077+C1078+C1079+C1080+C1106+C1107+C1109+C1110+C1111+C1112+C1113+C1114+C1135+C1138+C1140+C1141+C1166+C1167+C1168+C1169+C1170+C1172+C1173+C1174+C1195+C1196+C1197+C1199+C1201+C1203+C1229+C1230+C1236+C1238+C1259+C1260+C1261+C1263+C1265+C1284+C1285+C1286+C1287+C1288+C1292+C1311+C1312+C1313+C1314+C1317+C1318</f>
        <v>2992879</v>
      </c>
    </row>
    <row r="1412" spans="2:3" ht="18">
      <c r="B1412" s="2" t="s">
        <v>56</v>
      </c>
      <c r="C1412" s="7">
        <f>19654+C42+C44+C46+C67+C69+C70+C71+C95+C97+C98+C99+C101+C117+C119+C120+C121+C122+C148+C150+C151+C152+C153+C186+C188+C189+C190+C191+C234+C263+C264+C265+C266+C267+C268+C295+C297+C298+C299+C300+C323+C325+C327+C351+C352+C353+C380+C381+C382+C423+C424+C425+C426+C427+C428+C455+C457+C458+C459+C460+C477+C512+C513+C514+C515+C516+C517+C549+C572+C574+C575+C576+C577+C604+C606+C607+C608+C609+C610+C629+C631+C633+C664+C666+C667+C668+C669+C671+C694+C695+C696+C697+C727+C729+C731+C759+C761+C762+C763+C764+C793+C795+C796+C797+C798+C800+C824+D826+C826+C827+C828+C829+C853+C854+C855+C856+C885+C887+C888+C889+C890+C906+C907+C908+C910+C934+C936+C937+C938+C939+C966+C968+C969+C970+C971+C995+C997+C999+C1027+C1055+C1056+C1057+C1058+C1059+C1060+C1082+C1083+C1084+C1085+C1086+C1116+C1117+C1118+C1119+C1120+C1143+C1145+C1147+C1176+C1178+C1179+C1180+C1205+C1207+C1208+C1209+C1210+C1240+C1242+C1243+C1244+C1267+C1269+C1271+C1294+C1296+C1297+C1298+C1299+C1320+C1322+C1323+C1324</f>
        <v>872781</v>
      </c>
    </row>
    <row r="1413" ht="18">
      <c r="B1413" s="5"/>
    </row>
    <row r="1414" ht="18">
      <c r="B1414" s="7"/>
    </row>
    <row r="1415" spans="2:3" ht="18">
      <c r="B1415" s="7" t="s">
        <v>308</v>
      </c>
      <c r="C1415" s="7">
        <f>SUM(C1410:C1412)</f>
        <v>6816457</v>
      </c>
    </row>
    <row r="1416" spans="2:3" ht="18">
      <c r="B1416" s="7"/>
      <c r="C1416" s="7"/>
    </row>
    <row r="1417" spans="2:3" ht="18">
      <c r="B1417" s="7"/>
      <c r="C1417" s="7"/>
    </row>
    <row r="1420" spans="2:3" ht="18">
      <c r="B1420" s="2" t="s">
        <v>23</v>
      </c>
      <c r="C1420" s="3" t="s">
        <v>278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Пеннер</dc:creator>
  <cp:keywords/>
  <dc:description/>
  <cp:lastModifiedBy>Админ</cp:lastModifiedBy>
  <cp:lastPrinted>2018-04-19T00:50:41Z</cp:lastPrinted>
  <dcterms:created xsi:type="dcterms:W3CDTF">2002-04-29T07:48:33Z</dcterms:created>
  <dcterms:modified xsi:type="dcterms:W3CDTF">2018-10-03T03:40:04Z</dcterms:modified>
  <cp:category/>
  <cp:version/>
  <cp:contentType/>
  <cp:contentStatus/>
</cp:coreProperties>
</file>