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295" windowHeight="6375" activeTab="0"/>
  </bookViews>
  <sheets>
    <sheet name="2017 год с работами" sheetId="1" r:id="rId1"/>
  </sheets>
  <definedNames>
    <definedName name="_xlnm.Print_Area" localSheetId="0">'2017 год с работами'!#REF!</definedName>
  </definedNames>
  <calcPr fullCalcOnLoad="1"/>
</workbook>
</file>

<file path=xl/sharedStrings.xml><?xml version="1.0" encoding="utf-8"?>
<sst xmlns="http://schemas.openxmlformats.org/spreadsheetml/2006/main" count="1330" uniqueCount="474">
  <si>
    <t>Ростовская-4</t>
  </si>
  <si>
    <t>Киевская-8</t>
  </si>
  <si>
    <t>60 лет СССР-1</t>
  </si>
  <si>
    <t>Ростовская-3</t>
  </si>
  <si>
    <t>Ростовская-8</t>
  </si>
  <si>
    <t>Киевская-5а</t>
  </si>
  <si>
    <t>Донецкая-11</t>
  </si>
  <si>
    <t>Донецкая-13</t>
  </si>
  <si>
    <t>Ростовская-7</t>
  </si>
  <si>
    <t>Утепление трубопровода</t>
  </si>
  <si>
    <t>частичный ремонт кровли</t>
  </si>
  <si>
    <t>Донецкая-1а</t>
  </si>
  <si>
    <t>Ремонт канализации</t>
  </si>
  <si>
    <t>Донецкая-7</t>
  </si>
  <si>
    <t>Киевская-10</t>
  </si>
  <si>
    <t>60 лет СССР-3</t>
  </si>
  <si>
    <t>Киевская-3</t>
  </si>
  <si>
    <t>Армейская-1</t>
  </si>
  <si>
    <t>Армейская-2</t>
  </si>
  <si>
    <t>Армейская-3</t>
  </si>
  <si>
    <t>Армейская-5</t>
  </si>
  <si>
    <t>Артема-10</t>
  </si>
  <si>
    <t>Артема-12</t>
  </si>
  <si>
    <t>Инженер ПТО ООО УК "Ургал"</t>
  </si>
  <si>
    <t>Артема-7</t>
  </si>
  <si>
    <t>Артема-9</t>
  </si>
  <si>
    <t>замена запорной арматуры</t>
  </si>
  <si>
    <t>Донецкая-9</t>
  </si>
  <si>
    <t>Киевская-3а</t>
  </si>
  <si>
    <t>Киевская-7</t>
  </si>
  <si>
    <t>Южная-4</t>
  </si>
  <si>
    <t>Южная-2</t>
  </si>
  <si>
    <t>план</t>
  </si>
  <si>
    <t>Армейская-4</t>
  </si>
  <si>
    <t>Донецкая-1</t>
  </si>
  <si>
    <t>Донецкая-2</t>
  </si>
  <si>
    <t>Донецкая-2а</t>
  </si>
  <si>
    <t>Донецкая-2б</t>
  </si>
  <si>
    <t>Донецкая-3</t>
  </si>
  <si>
    <t>Донецкая-4</t>
  </si>
  <si>
    <t>Донецкая-5</t>
  </si>
  <si>
    <t>Киевская-1</t>
  </si>
  <si>
    <t>Киевская-1а</t>
  </si>
  <si>
    <t>Киевская-4</t>
  </si>
  <si>
    <t>Киевская-6</t>
  </si>
  <si>
    <t>Молодежная-1</t>
  </si>
  <si>
    <t>Молодежная-3</t>
  </si>
  <si>
    <t>Победы-4</t>
  </si>
  <si>
    <t>Победы-6</t>
  </si>
  <si>
    <t>Ростовская-1</t>
  </si>
  <si>
    <t>60 лет СССР-3а</t>
  </si>
  <si>
    <t>утепление подвальных окон, помещений</t>
  </si>
  <si>
    <t xml:space="preserve">ремонт дверных полотен, коробок </t>
  </si>
  <si>
    <t>трубы ПХВ на КНС</t>
  </si>
  <si>
    <t>замена трубопроводов</t>
  </si>
  <si>
    <t>ремонт КНС</t>
  </si>
  <si>
    <t>установка почтовых ящиков</t>
  </si>
  <si>
    <t>промывка системы отопления</t>
  </si>
  <si>
    <t>6455,0 м2</t>
  </si>
  <si>
    <t>строительные работы</t>
  </si>
  <si>
    <t>сантехнические работы</t>
  </si>
  <si>
    <t>электротехнические работы</t>
  </si>
  <si>
    <t>2140,6 м2</t>
  </si>
  <si>
    <t>ревизия запорной арматуры</t>
  </si>
  <si>
    <t>прочие работы</t>
  </si>
  <si>
    <t xml:space="preserve">ремонт подъездов </t>
  </si>
  <si>
    <t>Утепление подвальных, чердачных окон</t>
  </si>
  <si>
    <t>Остекление (1,5 м2)</t>
  </si>
  <si>
    <t xml:space="preserve">Замена запорной арматуры </t>
  </si>
  <si>
    <t>Ревизия запорной арматуры</t>
  </si>
  <si>
    <t xml:space="preserve">Замена трубопроводов на пропилен </t>
  </si>
  <si>
    <t>Замена запорной арматуры</t>
  </si>
  <si>
    <t>Смена трубопроводов</t>
  </si>
  <si>
    <t>Замена трубопровода</t>
  </si>
  <si>
    <t>Трубы ПХВ на КНС</t>
  </si>
  <si>
    <t>Прочистка трубопровода</t>
  </si>
  <si>
    <t>Замена трубопроводов</t>
  </si>
  <si>
    <t>Замена трубопровода на пропилен</t>
  </si>
  <si>
    <t>Ремонт радиаторов</t>
  </si>
  <si>
    <t>Замена трубопроводов на пропилен</t>
  </si>
  <si>
    <t>Отогрев трубопровода</t>
  </si>
  <si>
    <t>Ремонт радиаторов, регистров</t>
  </si>
  <si>
    <t>Ремонт дверных коробок, полотен</t>
  </si>
  <si>
    <t>Остекление (1,2 м2)</t>
  </si>
  <si>
    <t>Очистка от мусора чердаков, кровель, подвалов</t>
  </si>
  <si>
    <t>Ремонт дверных полотен, коробок</t>
  </si>
  <si>
    <t>Очистка кровель, чердаков, подвалов от мусора</t>
  </si>
  <si>
    <t>Прочие работы</t>
  </si>
  <si>
    <t>Демонтаж электропровода</t>
  </si>
  <si>
    <t>Установка распределительных коробок</t>
  </si>
  <si>
    <t>Ремонт электрощитов</t>
  </si>
  <si>
    <t>Ремонт ВРУ</t>
  </si>
  <si>
    <t>Замена электроприборов</t>
  </si>
  <si>
    <t>Замена автоматов</t>
  </si>
  <si>
    <t>Прокладка кабель-канала</t>
  </si>
  <si>
    <t>Установка регистров в п-де, рем п-ого отопления</t>
  </si>
  <si>
    <t>Смена трубороводов</t>
  </si>
  <si>
    <t>Ремонт отопления в подъезде</t>
  </si>
  <si>
    <t>Ремонт подъездного отопления</t>
  </si>
  <si>
    <t>изг.и установка регистров, ремонт п-ого отопления</t>
  </si>
  <si>
    <t>Прокладка электропровода</t>
  </si>
  <si>
    <t>Ремонт оконных переплетов</t>
  </si>
  <si>
    <t>Утепление чердачных, подвальных окон, помещений, трубопровода</t>
  </si>
  <si>
    <t xml:space="preserve">Ремонт  дверных полотен, коробок </t>
  </si>
  <si>
    <t>Ремонт  люков на чердак</t>
  </si>
  <si>
    <t>Изготовление дощатых трапов</t>
  </si>
  <si>
    <t>Изготовление дощатых трапов, настилов</t>
  </si>
  <si>
    <t>Изготовление дощатых настилов</t>
  </si>
  <si>
    <t>ремонт люков на чердак</t>
  </si>
  <si>
    <t xml:space="preserve">Ремонт отоплнеия </t>
  </si>
  <si>
    <t>Ремонт отопления</t>
  </si>
  <si>
    <t>Труба ПХВ на КНС</t>
  </si>
  <si>
    <t>Сбор крупного мусора около ж.д., вывоз на свалку</t>
  </si>
  <si>
    <t>Ремонт металлических ограждений</t>
  </si>
  <si>
    <t>Изготовление деревянного трапа</t>
  </si>
  <si>
    <t>Навеска дверных полотен люков на чердак</t>
  </si>
  <si>
    <t>Установка перил, наличников</t>
  </si>
  <si>
    <t>Ремонт деревянных полотен, коробок</t>
  </si>
  <si>
    <t>Ремонт металлического ограждения</t>
  </si>
  <si>
    <t>ремонт оконных переплетов</t>
  </si>
  <si>
    <t>ремонт металлических ограждений</t>
  </si>
  <si>
    <t>Ремонт кровли</t>
  </si>
  <si>
    <t>Навеска дверных полотен б/у, люков на чердак</t>
  </si>
  <si>
    <t>Ремонт цементной стяжки</t>
  </si>
  <si>
    <t>Навеска дверных полотен, люков на чердак</t>
  </si>
  <si>
    <t>Промывка радиаторов в квартире</t>
  </si>
  <si>
    <t>Ремонт второго подъезда</t>
  </si>
  <si>
    <t>Промывка системы отопления</t>
  </si>
  <si>
    <t>Ремонт элеваторных узлов</t>
  </si>
  <si>
    <t xml:space="preserve">Ремонт подъездного отоплнеия </t>
  </si>
  <si>
    <t>Приваривание навесов к металлической двери</t>
  </si>
  <si>
    <t>Теплоизоляция трубопроводов минватой</t>
  </si>
  <si>
    <t>Ремонт четвертого подъезда</t>
  </si>
  <si>
    <t>Изготовление деревянных щитов на вент.шахты</t>
  </si>
  <si>
    <t>Наческа дверных полотен, люков на чердак</t>
  </si>
  <si>
    <t>Ремонт подъедного отопления</t>
  </si>
  <si>
    <t>Герметизация межпанельных швов</t>
  </si>
  <si>
    <t xml:space="preserve">Утепление металлической двери </t>
  </si>
  <si>
    <t xml:space="preserve">Ремонт металлических ограждений </t>
  </si>
  <si>
    <t>Ремонт парапетов из жести</t>
  </si>
  <si>
    <t>Установка распределительных коробок с пр.проводов</t>
  </si>
  <si>
    <t>Установка распределительных коробок с зам.провода</t>
  </si>
  <si>
    <t>Установка распределительных коробок с пр.провода</t>
  </si>
  <si>
    <t xml:space="preserve"> </t>
  </si>
  <si>
    <t xml:space="preserve">демонтаж и монтаж деревянных чердачных перекрытий </t>
  </si>
  <si>
    <t>Закладка подвальных окон</t>
  </si>
  <si>
    <t>Остекление (2,7 м2)</t>
  </si>
  <si>
    <t>Заклладка подвальных окон</t>
  </si>
  <si>
    <t>Ремонт пола, порогов</t>
  </si>
  <si>
    <t>Ремонт полов, порогов</t>
  </si>
  <si>
    <t>Теплоизоляция трубопровода минватой</t>
  </si>
  <si>
    <t>Ремонт деревянных перил</t>
  </si>
  <si>
    <t>Ремонт продъездного отопления</t>
  </si>
  <si>
    <t>Установка вентилей сбросников</t>
  </si>
  <si>
    <t>Ремонт элеваторного узла</t>
  </si>
  <si>
    <t xml:space="preserve">ремонт, ревизия элеваторных узлов </t>
  </si>
  <si>
    <t>Прокладка электро-провода</t>
  </si>
  <si>
    <t>Заделка подвальных окон</t>
  </si>
  <si>
    <t>Навеска дверных полотен на чердак</t>
  </si>
  <si>
    <t>Утепление помещений</t>
  </si>
  <si>
    <t>Утепление чердачных помещений</t>
  </si>
  <si>
    <t>Ремонт козырька над входом в подъезд</t>
  </si>
  <si>
    <t>Утепление металлической двери</t>
  </si>
  <si>
    <t>Ремонт мусорных рундуков</t>
  </si>
  <si>
    <t>Ремонт металлоконструкций</t>
  </si>
  <si>
    <t>Заделка отверстий в мусорном стволе</t>
  </si>
  <si>
    <t>Ремонт отверстий в мусорном стволе</t>
  </si>
  <si>
    <t>Ремонт мусорных рундуков, отверстий в мусорных стволах</t>
  </si>
  <si>
    <t>Ремонт КНС</t>
  </si>
  <si>
    <t xml:space="preserve">Замена трубопроводов </t>
  </si>
  <si>
    <t>Остекление ( м2)</t>
  </si>
  <si>
    <t>Остекление (2,4 м2)</t>
  </si>
  <si>
    <t>Установка металлической входной двери -  шт.</t>
  </si>
  <si>
    <t>Установка металлической входной двери  шт.</t>
  </si>
  <si>
    <t>Установка входной деревянной двери -  щт.</t>
  </si>
  <si>
    <t>Теплоизоляция трубопроводов минватой (м3)</t>
  </si>
  <si>
    <t>Изготовление, укладка трапов</t>
  </si>
  <si>
    <t>Очистка кв.57 после пожара</t>
  </si>
  <si>
    <t>Установка почтовых ящиков</t>
  </si>
  <si>
    <t>ремонт козырьков над балконами</t>
  </si>
  <si>
    <t>Остекление (м2)</t>
  </si>
  <si>
    <t>Теплоизоляция трубопроводов мин.ватой (м3)</t>
  </si>
  <si>
    <t>Теплоизоляция трубопроводов мин.ватой</t>
  </si>
  <si>
    <t xml:space="preserve">Частичный ремонт кровли </t>
  </si>
  <si>
    <t>1985 г.</t>
  </si>
  <si>
    <t>800,2 м2</t>
  </si>
  <si>
    <t>96,6 м2</t>
  </si>
  <si>
    <t>816,0 м2</t>
  </si>
  <si>
    <t>92,0 м2</t>
  </si>
  <si>
    <t>1986 г.</t>
  </si>
  <si>
    <t>826,5 м2</t>
  </si>
  <si>
    <t>101,5 м2</t>
  </si>
  <si>
    <t>1988 г.</t>
  </si>
  <si>
    <t>4250,3 м2</t>
  </si>
  <si>
    <t>424,5 м2</t>
  </si>
  <si>
    <t>817,6 м2</t>
  </si>
  <si>
    <t>102,7 м2</t>
  </si>
  <si>
    <t>1983 г.</t>
  </si>
  <si>
    <t>3668,7 м2</t>
  </si>
  <si>
    <t>403,5 м2</t>
  </si>
  <si>
    <t>1980 г.</t>
  </si>
  <si>
    <t>6509,2 м2</t>
  </si>
  <si>
    <t>764,1 м2</t>
  </si>
  <si>
    <t>1992 г.</t>
  </si>
  <si>
    <t>808,1 м2</t>
  </si>
  <si>
    <t>99,7 м2</t>
  </si>
  <si>
    <t>1994 г.</t>
  </si>
  <si>
    <t>790,2 м2</t>
  </si>
  <si>
    <t>101,6 м2</t>
  </si>
  <si>
    <t>1979 г.</t>
  </si>
  <si>
    <t>6507,6 м2</t>
  </si>
  <si>
    <t>767,9 м2</t>
  </si>
  <si>
    <t>5877,2 м2</t>
  </si>
  <si>
    <t>642,4 м2</t>
  </si>
  <si>
    <t>1991 г.</t>
  </si>
  <si>
    <t>2937,4 м2</t>
  </si>
  <si>
    <t>455,6 м2</t>
  </si>
  <si>
    <t>2291,3 м2</t>
  </si>
  <si>
    <t>452,3 м2</t>
  </si>
  <si>
    <t>1995 г.</t>
  </si>
  <si>
    <t>1475,3 м2</t>
  </si>
  <si>
    <t>230,6 м2</t>
  </si>
  <si>
    <t>1978 г.</t>
  </si>
  <si>
    <t>1429,1 м2</t>
  </si>
  <si>
    <t>162,2 м2</t>
  </si>
  <si>
    <t>1999 м2</t>
  </si>
  <si>
    <t>2808,4 м2</t>
  </si>
  <si>
    <t>447,8 м2</t>
  </si>
  <si>
    <t>4334,1 м2</t>
  </si>
  <si>
    <t>472,0 м2</t>
  </si>
  <si>
    <t>684,4 м2</t>
  </si>
  <si>
    <t>112,1 м2</t>
  </si>
  <si>
    <t>1987 г.</t>
  </si>
  <si>
    <t>8449,3 м2</t>
  </si>
  <si>
    <t>1431,0 м2</t>
  </si>
  <si>
    <t>1989 г.</t>
  </si>
  <si>
    <t>2768,0 м2</t>
  </si>
  <si>
    <t>458,7 м2</t>
  </si>
  <si>
    <t>2760,3 м2</t>
  </si>
  <si>
    <t>461,6 м2</t>
  </si>
  <si>
    <t>1984 г.</t>
  </si>
  <si>
    <t>4937,8 м2</t>
  </si>
  <si>
    <t>666,4 м2</t>
  </si>
  <si>
    <t>2923,5 м2</t>
  </si>
  <si>
    <t>316,1 м2</t>
  </si>
  <si>
    <t>1982 г.</t>
  </si>
  <si>
    <t>2922,4 м2</t>
  </si>
  <si>
    <t>1455,2 м2</t>
  </si>
  <si>
    <t>1499,1 м2</t>
  </si>
  <si>
    <t>1066,7 м2</t>
  </si>
  <si>
    <t>2840,2 м2</t>
  </si>
  <si>
    <t>318,3 м2</t>
  </si>
  <si>
    <t>1981 г.</t>
  </si>
  <si>
    <t>5615,2 м2</t>
  </si>
  <si>
    <t>902,0 м2</t>
  </si>
  <si>
    <t>6580,9 м2</t>
  </si>
  <si>
    <t>733,9 м2</t>
  </si>
  <si>
    <t>2879,2 м2</t>
  </si>
  <si>
    <t>320,3 м2</t>
  </si>
  <si>
    <t>1149,5 м2</t>
  </si>
  <si>
    <t>914,5 м2</t>
  </si>
  <si>
    <t>4310,7 м2</t>
  </si>
  <si>
    <t>490,7 м2</t>
  </si>
  <si>
    <t>2560,5 м2</t>
  </si>
  <si>
    <t>318,5 м2</t>
  </si>
  <si>
    <t>2202,3 м2</t>
  </si>
  <si>
    <t>235,6 м2</t>
  </si>
  <si>
    <t>5734,2 м2</t>
  </si>
  <si>
    <t>683,9 м2</t>
  </si>
  <si>
    <t>1997 г.</t>
  </si>
  <si>
    <t>1945,2 м2</t>
  </si>
  <si>
    <t>230,9 м2</t>
  </si>
  <si>
    <t>1997,г.</t>
  </si>
  <si>
    <t>242,6 м2</t>
  </si>
  <si>
    <t>5949,0 м2</t>
  </si>
  <si>
    <t>1038,6 м2</t>
  </si>
  <si>
    <t>2727,3 м2</t>
  </si>
  <si>
    <t>452,1 м2</t>
  </si>
  <si>
    <t>7282,8 м2</t>
  </si>
  <si>
    <t>814,0 м2</t>
  </si>
  <si>
    <t>2122,1 м2</t>
  </si>
  <si>
    <t>249,3 м2</t>
  </si>
  <si>
    <t>6480,5 м2</t>
  </si>
  <si>
    <t>823,9 м2</t>
  </si>
  <si>
    <t>3641,2 м2</t>
  </si>
  <si>
    <t>406,0 м2</t>
  </si>
  <si>
    <t>748,0 м2</t>
  </si>
  <si>
    <t>240,9 м2</t>
  </si>
  <si>
    <t>1993 г.</t>
  </si>
  <si>
    <t>6782,2 м2</t>
  </si>
  <si>
    <t>1391,2 м2</t>
  </si>
  <si>
    <t>3496,3 м2</t>
  </si>
  <si>
    <t>688,3 м2</t>
  </si>
  <si>
    <t>Ремонт системы отопления с 1-4 подъезды</t>
  </si>
  <si>
    <t>Пеннер Н.А.</t>
  </si>
  <si>
    <t>Установка и изготовление металлических перил</t>
  </si>
  <si>
    <t>Изготовление и установка металлических перил</t>
  </si>
  <si>
    <t>Рнмонт металлоконструкций</t>
  </si>
  <si>
    <t>Установка деревянных стоек в подвальном прмещении</t>
  </si>
  <si>
    <t>Заделка выбоин в полах, ремонт порогов</t>
  </si>
  <si>
    <t>Установка оконной рамы</t>
  </si>
  <si>
    <t>Устройство козырька над входом в подъезд</t>
  </si>
  <si>
    <t>Изготовление дощатых настилов, коробов</t>
  </si>
  <si>
    <t>Заделка швов в тамбуре</t>
  </si>
  <si>
    <t>Планировка грунта</t>
  </si>
  <si>
    <t>Ремонт ступеней</t>
  </si>
  <si>
    <t>Установка дверного блока б/у 1 шт.</t>
  </si>
  <si>
    <t>Очистка от мусора чердака, подвала</t>
  </si>
  <si>
    <t>Заделка подвальных окон, коробов</t>
  </si>
  <si>
    <t>ремонт ступенек</t>
  </si>
  <si>
    <t>1979,5 м2</t>
  </si>
  <si>
    <t>Установка деревянных стоек в подвальном помещении</t>
  </si>
  <si>
    <t>Остекление (3,7 м2)</t>
  </si>
  <si>
    <t>Остекление (3 м2)</t>
  </si>
  <si>
    <t>Установка металлической утепленной двери</t>
  </si>
  <si>
    <t>Кладка кирпичной стены и перегородок</t>
  </si>
  <si>
    <t>Ревизия, ремонт элеватора</t>
  </si>
  <si>
    <t>Установка нового металлического блока</t>
  </si>
  <si>
    <t>Остекление (2 м2)</t>
  </si>
  <si>
    <t>Ревизия элеваторного узла</t>
  </si>
  <si>
    <t xml:space="preserve">Киевская-5 </t>
  </si>
  <si>
    <t>2017 год</t>
  </si>
  <si>
    <t xml:space="preserve">Утепление помещений </t>
  </si>
  <si>
    <t>Теплоизоляция трубопроводов минватой  (0,3 м3)</t>
  </si>
  <si>
    <t>Ремонт отпления в подъезде</t>
  </si>
  <si>
    <t>Установка перил</t>
  </si>
  <si>
    <t>Установка вентилей-сбросников</t>
  </si>
  <si>
    <t>Очистка кровли от сосулек и снега</t>
  </si>
  <si>
    <t>Строительные работы:</t>
  </si>
  <si>
    <t>Текущий ремонт</t>
  </si>
  <si>
    <t>Сантехнические работы:</t>
  </si>
  <si>
    <t>Электротехнические работы:</t>
  </si>
  <si>
    <t>установка деревянных дверей  шт. (новая)</t>
  </si>
  <si>
    <t>ВСЕГО:</t>
  </si>
  <si>
    <t xml:space="preserve">ремонт отопления </t>
  </si>
  <si>
    <t>Ремонт 8-го подъезда</t>
  </si>
  <si>
    <t>Ремонт 9-го подъезда</t>
  </si>
  <si>
    <t>Ремонт 2-го подъезда</t>
  </si>
  <si>
    <t>Ремонт 1-го подъезда</t>
  </si>
  <si>
    <t xml:space="preserve">Установка перил </t>
  </si>
  <si>
    <t>Установка деревянного блока б/у 1 шт.</t>
  </si>
  <si>
    <t>Установка нового металлического дверного блока, утепленного</t>
  </si>
  <si>
    <t>Установка деревянной входной двери -  шт. (б/у)</t>
  </si>
  <si>
    <t>Ремонт козырьков над балконами кв.</t>
  </si>
  <si>
    <t>Навеска дверных полотен люков на чердак, замков</t>
  </si>
  <si>
    <t>Заделка выбоин в полах, реионт порогов</t>
  </si>
  <si>
    <t>Навеска дверных полотен, люков на чердак, замков</t>
  </si>
  <si>
    <t>установка новых металлических дверей ( 1 шт.)</t>
  </si>
  <si>
    <t>ремонт, установка перил</t>
  </si>
  <si>
    <t xml:space="preserve">Установка вентилей сбросников </t>
  </si>
  <si>
    <t>Замена сгонов, заглушек, сборок</t>
  </si>
  <si>
    <t>Замена сгонов, заглущек, сборок</t>
  </si>
  <si>
    <t>Замена сгонов, заглушек сборок</t>
  </si>
  <si>
    <t>Замена сгонов, заглушек, сборок, вентилей-сбросников</t>
  </si>
  <si>
    <t>установка вентилей-сбросников, заглушек, сгонов, сборок</t>
  </si>
  <si>
    <t xml:space="preserve">Ремонт козырьков входов в подъезд </t>
  </si>
  <si>
    <t xml:space="preserve">Ремонт ступеней крыльца </t>
  </si>
  <si>
    <t>Установка деревянной входной двери  шт.</t>
  </si>
  <si>
    <t xml:space="preserve">Установка деревянной входной двери  шт. </t>
  </si>
  <si>
    <t>Утепление подвальных, чердачных окон (м3)</t>
  </si>
  <si>
    <t>Установка деревянной двери  шт.</t>
  </si>
  <si>
    <t>Ремонт козырьков над балконами</t>
  </si>
  <si>
    <t>Установка деревянной входной двери -  шт.</t>
  </si>
  <si>
    <t>Утепление ввода в дом минватой ( м3)</t>
  </si>
  <si>
    <t xml:space="preserve">Установка металлической двери </t>
  </si>
  <si>
    <t xml:space="preserve">Установка деревянной входной двери -   шт. </t>
  </si>
  <si>
    <t>Установка металлической утепленной двери ( шт.)</t>
  </si>
  <si>
    <t xml:space="preserve">Ремонт козырьков входа в подъезд </t>
  </si>
  <si>
    <t>Обшивка стены ДСП</t>
  </si>
  <si>
    <t>Заделка выбоин в полах</t>
  </si>
  <si>
    <t>Остекление (6 м2)</t>
  </si>
  <si>
    <t>Заделка отверстий в мус.стволе, подвальных окон</t>
  </si>
  <si>
    <t>Ремонт металлоконструкций, металлического ограждения</t>
  </si>
  <si>
    <t>Заделка вентшахт кирпичом и фанерой</t>
  </si>
  <si>
    <t>Навеска дверных полотен б/у 1 шт.</t>
  </si>
  <si>
    <t>Обшивка стены ДВП</t>
  </si>
  <si>
    <t>закладка подвальных окон, вентшахт</t>
  </si>
  <si>
    <t>ремонт цементной стяжки полов, выбоин в полах</t>
  </si>
  <si>
    <t>Герметизация межпанельных швов (36 п.м.)</t>
  </si>
  <si>
    <t>Герметизация межпанельных швов (192,8 п.м.)</t>
  </si>
  <si>
    <t>Ремонт подъездов</t>
  </si>
  <si>
    <t>Ремонт кровли п-д № 7 (20 м2)</t>
  </si>
  <si>
    <t>Ремонт кровли п-д № 4, п-д № 5 (60 м2)</t>
  </si>
  <si>
    <t>Ремонт кровли п-д № 7 (12 м2)</t>
  </si>
  <si>
    <t>Ремонт кровли п-д № 4 (12 м2)</t>
  </si>
  <si>
    <t>Переукладка пешеходных плит</t>
  </si>
  <si>
    <t>Остекление (7,1 м2)</t>
  </si>
  <si>
    <t>Ремонт деревянных ступеней, ступеней</t>
  </si>
  <si>
    <t>Ремонт входного крыльца</t>
  </si>
  <si>
    <t>Ремонт кирпичной кладки ввода в дом</t>
  </si>
  <si>
    <t>Изготовление дощатых настилов, коробов, вводов в дом</t>
  </si>
  <si>
    <t>Ремонт кирпичной кладки под входным крыльцом 1 п-д</t>
  </si>
  <si>
    <t>Заделка выбоин входного крыльца, 1-й подъезд</t>
  </si>
  <si>
    <t>Ремонт кирпичной кладки на чердаке, в подвале</t>
  </si>
  <si>
    <t>Устр-во покрытия входного козырька из жести</t>
  </si>
  <si>
    <t>Частичный ремонт кровли  2 м2</t>
  </si>
  <si>
    <t>Устр-во пароизоляции обмазочной над кв.102</t>
  </si>
  <si>
    <t>Ремонт крылец</t>
  </si>
  <si>
    <t>Ремонт кирпичной кладки</t>
  </si>
  <si>
    <t>кв.102 пароизоляция</t>
  </si>
  <si>
    <t>Установка вентилей (сбросников)</t>
  </si>
  <si>
    <t>Герметизация межпанельных швов (232 п.м.)</t>
  </si>
  <si>
    <t>Герметизация м/п швов (64 п.м.)</t>
  </si>
  <si>
    <t>Герметизация межпанельных швов (150,1 п.м.)</t>
  </si>
  <si>
    <t>Герметизация межпанельных швов (50 м.п.)</t>
  </si>
  <si>
    <t>Герметизация межпанельных швов (66 п.м.)</t>
  </si>
  <si>
    <t>Герметизация межпанельных швов (212 п.м.)</t>
  </si>
  <si>
    <t>Герметизация межпанельных швов (56 п.м.)</t>
  </si>
  <si>
    <t>Герметизация межпанельных швов (208 п.м.)</t>
  </si>
  <si>
    <t>Ремонт кровли 2-го подъезда (180 м2)</t>
  </si>
  <si>
    <t>Ремонт козырька над балконом кв.№ 51</t>
  </si>
  <si>
    <t>Ремонт козырьков над балконами кв.94,95</t>
  </si>
  <si>
    <t>Частичный ремонт кровли 1-го подъезда, промазка жидким битумом</t>
  </si>
  <si>
    <t>Герметизация межпанельных швов (159 п.м.)</t>
  </si>
  <si>
    <t>Герметизация межпанельных швов (54 п.м.)</t>
  </si>
  <si>
    <t>Герметизация межпанельных швов (269,6 п.м.)</t>
  </si>
  <si>
    <t>Остекление (5,2 м2)</t>
  </si>
  <si>
    <t xml:space="preserve">Ремонт металлческих ограждений, металлоконструкций </t>
  </si>
  <si>
    <t>Замена сборок, заглушек, сгонов</t>
  </si>
  <si>
    <t>остекление (53,6 м2)</t>
  </si>
  <si>
    <t>Закладка подвальных окон, отверстий</t>
  </si>
  <si>
    <t>Устройство входного козырька (1-й подъезд)</t>
  </si>
  <si>
    <t>Ремонт, устройство ступеней</t>
  </si>
  <si>
    <t>Ремонт ступеней крыльца (1, 2 подъезды)</t>
  </si>
  <si>
    <t>Ремонт кровли , 9-й подъезд (13 м2), 12 п-д</t>
  </si>
  <si>
    <t>Частичный ремонт кровли, промазка битумом 1,2 п-ды</t>
  </si>
  <si>
    <t>частичный ремонт кровли, промазка битумом, 2-й п-д</t>
  </si>
  <si>
    <t>Ремонт кровли, 6-й подъезд (15 м2), 1-й п-д</t>
  </si>
  <si>
    <t>Ремонт козырька над балконом кв.10</t>
  </si>
  <si>
    <t>Герметизация межпанельных швов (4 м.п.)</t>
  </si>
  <si>
    <t>Герметизация температурного шва (16 п.м.)</t>
  </si>
  <si>
    <t>Установка вентилей-сбросников, замена сгонов, заглушек</t>
  </si>
  <si>
    <t>Установка вентилей-сбросников, замена, ремонт заглушек, сгонов, сборок</t>
  </si>
  <si>
    <t>Замена, ремонт сгонов, заглушек, сборок</t>
  </si>
  <si>
    <t>Установка вентилей-сбросников, замена, ремонт сгонов, заглушек, сборок</t>
  </si>
  <si>
    <t>Ремонт кровли п-д №3, №6, №8</t>
  </si>
  <si>
    <t>Остекление (1,75 м2)</t>
  </si>
  <si>
    <t>Промазка входного козырька битумом</t>
  </si>
  <si>
    <t>Утепление стены в мусорокамере</t>
  </si>
  <si>
    <t>Остекление (2,2 м2)</t>
  </si>
  <si>
    <t>Ремонт поручней</t>
  </si>
  <si>
    <t>Ремонт металлической решетки</t>
  </si>
  <si>
    <t>Заделка фанерой канализ.шахты</t>
  </si>
  <si>
    <t>Ремонт кирпичной кладки стены</t>
  </si>
  <si>
    <t>Крепление фартуков на межсекционные швы</t>
  </si>
  <si>
    <t>Остекление (9,2 м2)</t>
  </si>
  <si>
    <t>Остекление (12,1 м2)</t>
  </si>
  <si>
    <t>Утепление минватой (0,3 м3)</t>
  </si>
  <si>
    <t>Утепление минватой (0,25 м3)</t>
  </si>
  <si>
    <t>Утепление трубопроводов минватой (0,25 м3)</t>
  </si>
  <si>
    <t>установка деревянных дверей 4  шт. (б/у)</t>
  </si>
  <si>
    <t>Установка дверного блока (б/у) 1 шт.</t>
  </si>
  <si>
    <t>Смена трубопровода</t>
  </si>
  <si>
    <t>Прокладка кабель-канала с электропроводом</t>
  </si>
  <si>
    <t>Утепление минватой (0,8 м3)</t>
  </si>
  <si>
    <t>Остекление (4,4 м2)</t>
  </si>
  <si>
    <t>Теплоизоляция трубопроводов минватой (2,5 м3)</t>
  </si>
  <si>
    <t>Утепление минватой (0,5 м3)</t>
  </si>
  <si>
    <t>Теплоизоляция минватой трубопровода (6,1 м3)</t>
  </si>
  <si>
    <t>Теплоизоляция трубопровода минватой (1,0 м3)</t>
  </si>
  <si>
    <t>Теплоизоляция трубопроводов минватой (0,8 м3)</t>
  </si>
  <si>
    <t>Теплоизоляция трубопровода м.в. (0,3 м3)</t>
  </si>
  <si>
    <t>Теплоизоляция трубопровода м.в. (0,4 м3)</t>
  </si>
  <si>
    <t>Теплоизоляция трубопроводов мин.ватой (0,6 м3)</t>
  </si>
  <si>
    <t>Теплоизоляция трубопроводов мин.ватой (0,4 м3)</t>
  </si>
  <si>
    <t>Теплоизоляция трубопроводов мин.ватой (1,0 м3)</t>
  </si>
  <si>
    <t>Остекление (44,7 м2)</t>
  </si>
  <si>
    <t>Утепление трубопроводов минватой (3,15 м3)</t>
  </si>
  <si>
    <t>Теплоизоляция трубопровода минватой (0,3 м3)</t>
  </si>
  <si>
    <t>Утепление минватой (0,4 м3)</t>
  </si>
  <si>
    <t>Утепление помещений, подвала, чердака, подъезда</t>
  </si>
  <si>
    <t>теплоизоляция трубопроводов (20,65 м3)</t>
  </si>
  <si>
    <t>Ремонт элеваторов</t>
  </si>
  <si>
    <t>при сборе 78%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</si>
</sst>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  <numFmt numFmtId="180" formatCode="0.000"/>
  </numFmts>
  <fonts count="46">
    <font>
      <sz val="10"/>
      <name val="Arial Cyr"/>
      <family val="0"/>
    </font>
    <font>
      <sz val="12"/>
      <name val="Arial Cyr"/>
      <family val="2"/>
    </font>
    <font>
      <b/>
      <u val="single"/>
      <sz val="14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u val="single"/>
      <sz val="16"/>
      <name val="Arial Cyr"/>
      <family val="0"/>
    </font>
    <font>
      <b/>
      <u val="single"/>
      <sz val="18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6"/>
  <sheetViews>
    <sheetView tabSelected="1" zoomScale="115" zoomScaleNormal="115" zoomScalePageLayoutView="0" workbookViewId="0" topLeftCell="A1">
      <selection activeCell="E10" sqref="E10"/>
    </sheetView>
  </sheetViews>
  <sheetFormatPr defaultColWidth="9.00390625" defaultRowHeight="12.75"/>
  <cols>
    <col min="1" max="1" width="12.125" style="4" customWidth="1"/>
    <col min="2" max="2" width="59.125" style="5" customWidth="1"/>
    <col min="3" max="3" width="25.875" style="5" customWidth="1"/>
    <col min="4" max="4" width="27.625" style="5" customWidth="1"/>
    <col min="5" max="5" width="14.625" style="5" customWidth="1"/>
    <col min="6" max="6" width="21.125" style="5" customWidth="1"/>
    <col min="7" max="7" width="10.00390625" style="5" customWidth="1"/>
    <col min="8" max="8" width="14.875" style="5" customWidth="1"/>
    <col min="9" max="9" width="13.25390625" style="5" customWidth="1"/>
    <col min="10" max="16384" width="9.125" style="5" customWidth="1"/>
  </cols>
  <sheetData>
    <row r="1" spans="3:4" ht="23.25">
      <c r="C1" s="15" t="s">
        <v>321</v>
      </c>
      <c r="D1" s="2" t="s">
        <v>32</v>
      </c>
    </row>
    <row r="2" ht="18">
      <c r="D2" s="2" t="s">
        <v>473</v>
      </c>
    </row>
    <row r="3" spans="6:7" ht="18">
      <c r="F3" s="4"/>
      <c r="G3" s="20"/>
    </row>
    <row r="4" ht="18">
      <c r="F4" s="4"/>
    </row>
    <row r="5" spans="1:7" ht="20.25">
      <c r="A5" s="4" t="s">
        <v>184</v>
      </c>
      <c r="B5" s="14" t="s">
        <v>17</v>
      </c>
      <c r="D5" s="11">
        <v>45597.17</v>
      </c>
      <c r="F5" s="12"/>
      <c r="G5" s="12"/>
    </row>
    <row r="6" spans="1:3" ht="18">
      <c r="A6" s="4" t="s">
        <v>185</v>
      </c>
      <c r="B6" s="5" t="s">
        <v>66</v>
      </c>
      <c r="C6" s="10"/>
    </row>
    <row r="7" spans="1:3" ht="18">
      <c r="A7" s="4" t="s">
        <v>186</v>
      </c>
      <c r="B7" s="8" t="s">
        <v>85</v>
      </c>
      <c r="C7" s="10">
        <f>597+597</f>
        <v>1194</v>
      </c>
    </row>
    <row r="8" spans="2:3" ht="18">
      <c r="B8" s="8" t="s">
        <v>445</v>
      </c>
      <c r="C8" s="10">
        <f>5218+4014</f>
        <v>9232</v>
      </c>
    </row>
    <row r="9" spans="2:3" ht="18">
      <c r="B9" s="8" t="s">
        <v>115</v>
      </c>
      <c r="C9" s="10"/>
    </row>
    <row r="10" spans="2:3" ht="18">
      <c r="B10" s="8" t="s">
        <v>327</v>
      </c>
      <c r="C10" s="10">
        <v>3244</v>
      </c>
    </row>
    <row r="11" ht="18">
      <c r="B11" s="8"/>
    </row>
    <row r="12" spans="2:3" ht="18">
      <c r="B12" s="5" t="s">
        <v>71</v>
      </c>
      <c r="C12" s="10">
        <f>493+1174+1628+606</f>
        <v>3901</v>
      </c>
    </row>
    <row r="13" spans="2:3" ht="18">
      <c r="B13" s="5" t="s">
        <v>69</v>
      </c>
      <c r="C13" s="10">
        <f>1182+13505</f>
        <v>14687</v>
      </c>
    </row>
    <row r="14" spans="2:3" ht="18">
      <c r="B14" s="5" t="s">
        <v>74</v>
      </c>
      <c r="C14" s="10">
        <f>1743</f>
        <v>1743</v>
      </c>
    </row>
    <row r="15" spans="2:3" ht="18">
      <c r="B15" s="5" t="s">
        <v>72</v>
      </c>
      <c r="C15" s="10">
        <f>4846</f>
        <v>4846</v>
      </c>
    </row>
    <row r="16" spans="2:3" ht="18">
      <c r="B16" s="5" t="s">
        <v>127</v>
      </c>
      <c r="C16" s="10">
        <f>2874</f>
        <v>2874</v>
      </c>
    </row>
    <row r="18" spans="2:3" ht="18">
      <c r="B18" s="5" t="s">
        <v>90</v>
      </c>
      <c r="C18" s="10">
        <f>11896</f>
        <v>11896</v>
      </c>
    </row>
    <row r="19" spans="2:3" ht="18">
      <c r="B19" s="5" t="s">
        <v>91</v>
      </c>
      <c r="C19" s="10"/>
    </row>
    <row r="20" spans="2:3" ht="18">
      <c r="B20" s="5" t="s">
        <v>88</v>
      </c>
      <c r="C20" s="10">
        <f>774+22</f>
        <v>796</v>
      </c>
    </row>
    <row r="21" spans="2:3" ht="18">
      <c r="B21" s="5" t="s">
        <v>89</v>
      </c>
      <c r="C21" s="10">
        <f>1274</f>
        <v>1274</v>
      </c>
    </row>
    <row r="22" spans="2:3" ht="18">
      <c r="B22" s="5" t="s">
        <v>92</v>
      </c>
      <c r="C22" s="10">
        <f>216</f>
        <v>216</v>
      </c>
    </row>
    <row r="23" spans="2:3" ht="18">
      <c r="B23" s="5" t="s">
        <v>93</v>
      </c>
      <c r="C23" s="10">
        <f>2864+1807+1061</f>
        <v>5732</v>
      </c>
    </row>
    <row r="24" spans="2:3" ht="18">
      <c r="B24" s="5" t="s">
        <v>100</v>
      </c>
      <c r="C24" s="10">
        <f>5478+2733</f>
        <v>8211</v>
      </c>
    </row>
    <row r="25" spans="2:3" ht="18">
      <c r="B25" s="5" t="s">
        <v>94</v>
      </c>
      <c r="C25" s="10"/>
    </row>
    <row r="26" ht="18">
      <c r="C26" s="11">
        <f>SUM(C6:C25)</f>
        <v>69846</v>
      </c>
    </row>
    <row r="27" spans="1:7" ht="20.25">
      <c r="A27" s="4" t="s">
        <v>184</v>
      </c>
      <c r="B27" s="14" t="s">
        <v>18</v>
      </c>
      <c r="D27" s="11">
        <v>46497.49</v>
      </c>
      <c r="F27" s="12"/>
      <c r="G27" s="12"/>
    </row>
    <row r="28" spans="1:3" ht="18">
      <c r="A28" s="4" t="s">
        <v>187</v>
      </c>
      <c r="B28" s="8" t="s">
        <v>170</v>
      </c>
      <c r="C28" s="10"/>
    </row>
    <row r="29" spans="1:3" ht="18">
      <c r="A29" s="4" t="s">
        <v>188</v>
      </c>
      <c r="B29" s="8" t="s">
        <v>85</v>
      </c>
      <c r="C29" s="10">
        <f>299</f>
        <v>299</v>
      </c>
    </row>
    <row r="30" spans="2:3" ht="18">
      <c r="B30" s="8" t="s">
        <v>178</v>
      </c>
      <c r="C30" s="10"/>
    </row>
    <row r="31" spans="2:3" ht="18">
      <c r="B31" s="8" t="s">
        <v>115</v>
      </c>
      <c r="C31" s="10"/>
    </row>
    <row r="32" spans="2:3" ht="18">
      <c r="B32" s="8" t="s">
        <v>327</v>
      </c>
      <c r="C32" s="10">
        <v>3244</v>
      </c>
    </row>
    <row r="33" ht="18">
      <c r="B33" s="8"/>
    </row>
    <row r="34" spans="2:3" ht="18">
      <c r="B34" s="5" t="s">
        <v>68</v>
      </c>
      <c r="C34" s="10">
        <f>1174+2348</f>
        <v>3522</v>
      </c>
    </row>
    <row r="35" spans="2:3" ht="18">
      <c r="B35" s="5" t="s">
        <v>69</v>
      </c>
      <c r="C35" s="10"/>
    </row>
    <row r="36" spans="2:3" ht="18">
      <c r="B36" s="5" t="s">
        <v>74</v>
      </c>
      <c r="C36" s="10">
        <f>9107</f>
        <v>9107</v>
      </c>
    </row>
    <row r="37" spans="2:3" ht="18">
      <c r="B37" s="5" t="s">
        <v>127</v>
      </c>
      <c r="C37" s="10">
        <f>3002</f>
        <v>3002</v>
      </c>
    </row>
    <row r="39" spans="2:3" ht="18">
      <c r="B39" s="5" t="s">
        <v>90</v>
      </c>
      <c r="C39" s="10">
        <f>8089+11896</f>
        <v>19985</v>
      </c>
    </row>
    <row r="40" spans="2:3" ht="18">
      <c r="B40" s="5" t="s">
        <v>91</v>
      </c>
      <c r="C40" s="10"/>
    </row>
    <row r="41" spans="2:3" ht="18">
      <c r="B41" s="5" t="s">
        <v>88</v>
      </c>
      <c r="C41" s="10">
        <f>99+774</f>
        <v>873</v>
      </c>
    </row>
    <row r="42" spans="2:3" ht="18">
      <c r="B42" s="5" t="s">
        <v>89</v>
      </c>
      <c r="C42" s="10"/>
    </row>
    <row r="43" spans="2:3" ht="18">
      <c r="B43" s="5" t="s">
        <v>92</v>
      </c>
      <c r="C43" s="10">
        <f>289</f>
        <v>289</v>
      </c>
    </row>
    <row r="44" spans="2:3" ht="18">
      <c r="B44" s="5" t="s">
        <v>93</v>
      </c>
      <c r="C44" s="10">
        <f>2864+1807</f>
        <v>4671</v>
      </c>
    </row>
    <row r="45" spans="2:3" ht="18">
      <c r="B45" s="5" t="s">
        <v>100</v>
      </c>
      <c r="C45" s="10">
        <f>5478+2733</f>
        <v>8211</v>
      </c>
    </row>
    <row r="46" spans="2:3" ht="18">
      <c r="B46" s="5" t="s">
        <v>94</v>
      </c>
      <c r="C46" s="10"/>
    </row>
    <row r="47" ht="18">
      <c r="C47" s="11">
        <f>SUM(C28:C46)</f>
        <v>53203</v>
      </c>
    </row>
    <row r="48" spans="1:7" ht="20.25">
      <c r="A48" s="4" t="s">
        <v>189</v>
      </c>
      <c r="B48" s="14" t="s">
        <v>19</v>
      </c>
      <c r="D48" s="11">
        <v>47095.8</v>
      </c>
      <c r="F48" s="12"/>
      <c r="G48" s="12"/>
    </row>
    <row r="49" spans="1:3" ht="18">
      <c r="A49" s="4" t="s">
        <v>190</v>
      </c>
      <c r="B49" s="8" t="s">
        <v>103</v>
      </c>
      <c r="C49" s="10">
        <f>597</f>
        <v>597</v>
      </c>
    </row>
    <row r="50" spans="1:3" ht="18">
      <c r="A50" s="4" t="s">
        <v>191</v>
      </c>
      <c r="B50" s="8" t="s">
        <v>104</v>
      </c>
      <c r="C50" s="10"/>
    </row>
    <row r="51" spans="2:3" ht="18">
      <c r="B51" s="8" t="s">
        <v>395</v>
      </c>
      <c r="C51" s="10">
        <f>1323</f>
        <v>1323</v>
      </c>
    </row>
    <row r="52" spans="2:3" ht="18">
      <c r="B52" s="8" t="s">
        <v>164</v>
      </c>
      <c r="C52" s="10"/>
    </row>
    <row r="53" spans="2:3" ht="18">
      <c r="B53" s="8" t="s">
        <v>67</v>
      </c>
      <c r="C53" s="10">
        <f>1505</f>
        <v>1505</v>
      </c>
    </row>
    <row r="54" spans="2:3" ht="18">
      <c r="B54" s="8" t="s">
        <v>327</v>
      </c>
      <c r="C54" s="10">
        <v>3244</v>
      </c>
    </row>
    <row r="55" ht="18">
      <c r="B55" s="8"/>
    </row>
    <row r="56" spans="2:3" ht="18">
      <c r="B56" s="5" t="s">
        <v>68</v>
      </c>
      <c r="C56" s="10">
        <f>1102+2348+1480</f>
        <v>4930</v>
      </c>
    </row>
    <row r="57" spans="2:3" ht="18">
      <c r="B57" s="5" t="s">
        <v>69</v>
      </c>
      <c r="C57" s="10"/>
    </row>
    <row r="58" spans="2:3" ht="18">
      <c r="B58" s="5" t="s">
        <v>70</v>
      </c>
      <c r="C58" s="10">
        <f>4923</f>
        <v>4923</v>
      </c>
    </row>
    <row r="59" spans="2:3" ht="18">
      <c r="B59" s="5" t="s">
        <v>74</v>
      </c>
      <c r="C59" s="10"/>
    </row>
    <row r="60" spans="2:3" ht="18">
      <c r="B60" s="5" t="s">
        <v>127</v>
      </c>
      <c r="C60" s="10">
        <f>2969</f>
        <v>2969</v>
      </c>
    </row>
    <row r="62" spans="2:3" ht="18">
      <c r="B62" s="5" t="s">
        <v>90</v>
      </c>
      <c r="C62" s="10">
        <f>11896+2713</f>
        <v>14609</v>
      </c>
    </row>
    <row r="63" spans="2:3" ht="18">
      <c r="B63" s="5" t="s">
        <v>91</v>
      </c>
      <c r="C63" s="10"/>
    </row>
    <row r="64" spans="2:3" ht="18">
      <c r="B64" s="5" t="s">
        <v>88</v>
      </c>
      <c r="C64" s="10">
        <f>774</f>
        <v>774</v>
      </c>
    </row>
    <row r="65" spans="2:3" ht="18">
      <c r="B65" s="5" t="s">
        <v>89</v>
      </c>
      <c r="C65" s="10"/>
    </row>
    <row r="66" spans="2:3" ht="18">
      <c r="B66" s="5" t="s">
        <v>92</v>
      </c>
      <c r="C66" s="10">
        <f>173+368+842</f>
        <v>1383</v>
      </c>
    </row>
    <row r="67" spans="1:3" ht="20.25">
      <c r="A67" s="14"/>
      <c r="B67" s="5" t="s">
        <v>93</v>
      </c>
      <c r="C67" s="10">
        <f>2864+1807+528</f>
        <v>5199</v>
      </c>
    </row>
    <row r="68" spans="2:3" ht="18">
      <c r="B68" s="5" t="s">
        <v>94</v>
      </c>
      <c r="C68" s="10"/>
    </row>
    <row r="69" spans="2:3" ht="18">
      <c r="B69" s="5" t="s">
        <v>100</v>
      </c>
      <c r="C69" s="10">
        <f>5478+2733</f>
        <v>8211</v>
      </c>
    </row>
    <row r="70" ht="18">
      <c r="C70" s="11">
        <f>SUM(C49:C69)</f>
        <v>49667</v>
      </c>
    </row>
    <row r="71" spans="1:7" ht="20.25">
      <c r="A71" s="4" t="s">
        <v>192</v>
      </c>
      <c r="B71" s="14" t="s">
        <v>33</v>
      </c>
      <c r="D71" s="11">
        <v>242191.51</v>
      </c>
      <c r="F71" s="12"/>
      <c r="G71" s="12"/>
    </row>
    <row r="72" spans="1:3" ht="18">
      <c r="A72" s="4" t="s">
        <v>193</v>
      </c>
      <c r="B72" s="8" t="s">
        <v>85</v>
      </c>
      <c r="C72" s="10">
        <f>1424+1792+1493+244</f>
        <v>4953</v>
      </c>
    </row>
    <row r="73" spans="1:3" ht="18">
      <c r="A73" s="4" t="s">
        <v>194</v>
      </c>
      <c r="B73" s="8" t="s">
        <v>115</v>
      </c>
      <c r="C73" s="10">
        <f>1395</f>
        <v>1395</v>
      </c>
    </row>
    <row r="74" spans="2:3" ht="18">
      <c r="B74" s="8" t="s">
        <v>178</v>
      </c>
      <c r="C74" s="10"/>
    </row>
    <row r="75" spans="2:3" ht="18">
      <c r="B75" s="8" t="s">
        <v>118</v>
      </c>
      <c r="C75" s="10"/>
    </row>
    <row r="76" spans="2:3" ht="18">
      <c r="B76" s="8" t="s">
        <v>145</v>
      </c>
      <c r="C76" s="10"/>
    </row>
    <row r="77" spans="2:3" ht="18">
      <c r="B77" s="8" t="s">
        <v>148</v>
      </c>
      <c r="C77" s="10"/>
    </row>
    <row r="78" spans="2:3" ht="18">
      <c r="B78" s="8" t="s">
        <v>159</v>
      </c>
      <c r="C78" s="10"/>
    </row>
    <row r="79" ht="18">
      <c r="B79" s="8"/>
    </row>
    <row r="80" spans="2:3" ht="18">
      <c r="B80" s="5" t="s">
        <v>68</v>
      </c>
      <c r="C80" s="10">
        <f>2204+2654+1174+1174+2348+1174+1174</f>
        <v>11902</v>
      </c>
    </row>
    <row r="81" spans="2:3" ht="18">
      <c r="B81" s="5" t="s">
        <v>69</v>
      </c>
      <c r="C81" s="10">
        <f>1193</f>
        <v>1193</v>
      </c>
    </row>
    <row r="82" spans="2:3" ht="18">
      <c r="B82" s="5" t="s">
        <v>70</v>
      </c>
      <c r="C82" s="10">
        <f>5110</f>
        <v>5110</v>
      </c>
    </row>
    <row r="83" spans="2:3" ht="18">
      <c r="B83" s="5" t="s">
        <v>74</v>
      </c>
      <c r="C83" s="10">
        <f>1505</f>
        <v>1505</v>
      </c>
    </row>
    <row r="84" spans="2:3" ht="18">
      <c r="B84" s="5" t="s">
        <v>154</v>
      </c>
      <c r="C84" s="10">
        <f>3781+6665</f>
        <v>10446</v>
      </c>
    </row>
    <row r="85" spans="2:3" ht="18">
      <c r="B85" s="5" t="s">
        <v>12</v>
      </c>
      <c r="C85" s="10">
        <f>5078</f>
        <v>5078</v>
      </c>
    </row>
    <row r="86" spans="2:3" ht="18">
      <c r="B86" s="5" t="s">
        <v>127</v>
      </c>
      <c r="C86" s="10">
        <f>15394</f>
        <v>15394</v>
      </c>
    </row>
    <row r="88" spans="2:3" ht="18">
      <c r="B88" s="5" t="s">
        <v>90</v>
      </c>
      <c r="C88" s="10">
        <f>5521+2824+71376+3225+5427+5427+2713+8140+8779</f>
        <v>113432</v>
      </c>
    </row>
    <row r="89" spans="2:3" ht="18">
      <c r="B89" s="5" t="s">
        <v>91</v>
      </c>
      <c r="C89" s="10">
        <f>5017</f>
        <v>5017</v>
      </c>
    </row>
    <row r="90" spans="2:3" ht="18">
      <c r="B90" s="5" t="s">
        <v>88</v>
      </c>
      <c r="C90" s="10">
        <f>66+33+774+22+56+78+67+67+67+33+100+145</f>
        <v>1508</v>
      </c>
    </row>
    <row r="91" spans="2:3" ht="18">
      <c r="B91" s="5" t="s">
        <v>89</v>
      </c>
      <c r="C91" s="10">
        <f>1266+3723+2549+3823+2549</f>
        <v>13910</v>
      </c>
    </row>
    <row r="92" spans="2:3" ht="18">
      <c r="B92" s="5" t="s">
        <v>92</v>
      </c>
      <c r="C92" s="10">
        <f>173+173+184+728+1404+788+1343+551</f>
        <v>5344</v>
      </c>
    </row>
    <row r="93" spans="2:3" ht="18">
      <c r="B93" s="5" t="s">
        <v>100</v>
      </c>
      <c r="C93" s="10">
        <f>5478+9759+3781</f>
        <v>19018</v>
      </c>
    </row>
    <row r="94" spans="2:5" ht="18">
      <c r="B94" s="5" t="s">
        <v>93</v>
      </c>
      <c r="C94" s="10">
        <f>23352+2121</f>
        <v>25473</v>
      </c>
      <c r="E94" s="13"/>
    </row>
    <row r="95" spans="2:3" ht="18">
      <c r="B95" s="5" t="s">
        <v>94</v>
      </c>
      <c r="C95" s="10"/>
    </row>
    <row r="96" ht="18">
      <c r="C96" s="11">
        <f>SUM(C72:C95)</f>
        <v>240678</v>
      </c>
    </row>
    <row r="97" spans="1:7" ht="20.25">
      <c r="A97" s="4" t="s">
        <v>192</v>
      </c>
      <c r="B97" s="14" t="s">
        <v>20</v>
      </c>
      <c r="D97" s="11">
        <v>46588.66</v>
      </c>
      <c r="F97" s="12"/>
      <c r="G97" s="12"/>
    </row>
    <row r="98" spans="1:3" ht="18">
      <c r="A98" s="4" t="s">
        <v>195</v>
      </c>
      <c r="B98" s="8" t="s">
        <v>83</v>
      </c>
      <c r="C98" s="10">
        <f>1204</f>
        <v>1204</v>
      </c>
    </row>
    <row r="99" spans="1:3" ht="18">
      <c r="A99" s="4" t="s">
        <v>196</v>
      </c>
      <c r="B99" s="8" t="s">
        <v>301</v>
      </c>
      <c r="C99" s="10"/>
    </row>
    <row r="100" spans="2:3" ht="18">
      <c r="B100" s="8" t="s">
        <v>85</v>
      </c>
      <c r="C100" s="10">
        <f>299</f>
        <v>299</v>
      </c>
    </row>
    <row r="101" spans="2:3" ht="18">
      <c r="B101" s="8" t="s">
        <v>327</v>
      </c>
      <c r="C101" s="10">
        <v>3244</v>
      </c>
    </row>
    <row r="102" ht="18">
      <c r="B102" s="8"/>
    </row>
    <row r="103" spans="2:3" ht="18">
      <c r="B103" s="5" t="s">
        <v>71</v>
      </c>
      <c r="C103" s="10">
        <f>1102+1174</f>
        <v>2276</v>
      </c>
    </row>
    <row r="104" spans="2:3" ht="18">
      <c r="B104" s="5" t="s">
        <v>69</v>
      </c>
      <c r="C104" s="10">
        <f>795</f>
        <v>795</v>
      </c>
    </row>
    <row r="105" spans="2:3" ht="18">
      <c r="B105" s="5" t="s">
        <v>77</v>
      </c>
      <c r="C105" s="10"/>
    </row>
    <row r="106" spans="2:3" ht="18">
      <c r="B106" s="5" t="s">
        <v>154</v>
      </c>
      <c r="C106" s="10">
        <f>3781+6665</f>
        <v>10446</v>
      </c>
    </row>
    <row r="107" spans="2:3" ht="18">
      <c r="B107" s="5" t="s">
        <v>127</v>
      </c>
      <c r="C107" s="10">
        <f>2822</f>
        <v>2822</v>
      </c>
    </row>
    <row r="109" spans="2:3" ht="18">
      <c r="B109" s="5" t="s">
        <v>90</v>
      </c>
      <c r="C109" s="10">
        <f>5393+11896</f>
        <v>17289</v>
      </c>
    </row>
    <row r="110" spans="2:3" ht="18">
      <c r="B110" s="5" t="s">
        <v>91</v>
      </c>
      <c r="C110" s="10"/>
    </row>
    <row r="111" spans="2:3" ht="18">
      <c r="B111" s="5" t="s">
        <v>88</v>
      </c>
      <c r="C111" s="10">
        <f>66+774</f>
        <v>840</v>
      </c>
    </row>
    <row r="112" spans="2:3" ht="18">
      <c r="B112" s="5" t="s">
        <v>89</v>
      </c>
      <c r="C112" s="10"/>
    </row>
    <row r="113" spans="2:3" ht="18">
      <c r="B113" s="5" t="s">
        <v>92</v>
      </c>
      <c r="C113" s="10">
        <f>543+401</f>
        <v>944</v>
      </c>
    </row>
    <row r="114" spans="2:3" ht="18">
      <c r="B114" s="5" t="s">
        <v>93</v>
      </c>
      <c r="C114" s="10"/>
    </row>
    <row r="115" spans="2:3" ht="18">
      <c r="B115" s="5" t="s">
        <v>100</v>
      </c>
      <c r="C115" s="10">
        <f>5478+2733</f>
        <v>8211</v>
      </c>
    </row>
    <row r="116" spans="2:3" ht="18">
      <c r="B116" s="5" t="s">
        <v>94</v>
      </c>
      <c r="C116" s="10"/>
    </row>
    <row r="117" ht="18">
      <c r="C117" s="11">
        <f>SUM(C98:C116)</f>
        <v>48370</v>
      </c>
    </row>
    <row r="118" spans="1:7" ht="20.25">
      <c r="A118" s="4" t="s">
        <v>197</v>
      </c>
      <c r="B118" s="14" t="s">
        <v>24</v>
      </c>
      <c r="D118" s="11">
        <v>209050.66</v>
      </c>
      <c r="F118" s="12"/>
      <c r="G118" s="12"/>
    </row>
    <row r="119" spans="1:3" ht="18">
      <c r="A119" s="4" t="s">
        <v>198</v>
      </c>
      <c r="B119" s="5" t="s">
        <v>181</v>
      </c>
      <c r="C119" s="10"/>
    </row>
    <row r="120" spans="1:3" ht="18">
      <c r="A120" s="4" t="s">
        <v>199</v>
      </c>
      <c r="B120" s="5" t="s">
        <v>171</v>
      </c>
      <c r="C120" s="10">
        <f>982+1204</f>
        <v>2186</v>
      </c>
    </row>
    <row r="121" spans="2:3" ht="18">
      <c r="B121" s="5" t="s">
        <v>178</v>
      </c>
      <c r="C121" s="10"/>
    </row>
    <row r="122" spans="2:3" ht="18">
      <c r="B122" s="8" t="s">
        <v>103</v>
      </c>
      <c r="C122" s="10">
        <f>1424+2986</f>
        <v>4410</v>
      </c>
    </row>
    <row r="123" spans="2:3" ht="18">
      <c r="B123" s="8" t="s">
        <v>304</v>
      </c>
      <c r="C123" s="10"/>
    </row>
    <row r="124" spans="2:3" ht="18">
      <c r="B124" s="8" t="s">
        <v>145</v>
      </c>
      <c r="C124" s="10">
        <f>5111</f>
        <v>5111</v>
      </c>
    </row>
    <row r="125" spans="2:3" ht="18">
      <c r="B125" s="8" t="s">
        <v>107</v>
      </c>
      <c r="C125" s="10"/>
    </row>
    <row r="126" spans="2:3" ht="18">
      <c r="B126" s="8" t="s">
        <v>159</v>
      </c>
      <c r="C126" s="10"/>
    </row>
    <row r="127" spans="2:3" ht="18">
      <c r="B127" s="8" t="s">
        <v>136</v>
      </c>
      <c r="C127" s="10"/>
    </row>
    <row r="129" spans="2:3" ht="18">
      <c r="B129" s="5" t="s">
        <v>71</v>
      </c>
      <c r="C129" s="10">
        <f>1102+1653+1174+3142</f>
        <v>7071</v>
      </c>
    </row>
    <row r="130" spans="2:3" ht="18">
      <c r="B130" s="5" t="s">
        <v>69</v>
      </c>
      <c r="C130" s="10">
        <f>12991+11225+6521+3261</f>
        <v>33998</v>
      </c>
    </row>
    <row r="131" spans="2:3" ht="18">
      <c r="B131" s="5" t="s">
        <v>74</v>
      </c>
      <c r="C131" s="10"/>
    </row>
    <row r="132" spans="2:3" ht="18">
      <c r="B132" s="5" t="s">
        <v>77</v>
      </c>
      <c r="C132" s="10">
        <f>2540</f>
        <v>2540</v>
      </c>
    </row>
    <row r="133" spans="2:3" ht="18">
      <c r="B133" s="5" t="s">
        <v>400</v>
      </c>
      <c r="C133" s="10">
        <f>2685</f>
        <v>2685</v>
      </c>
    </row>
    <row r="134" spans="2:3" ht="18">
      <c r="B134" s="5" t="s">
        <v>98</v>
      </c>
      <c r="C134" s="10">
        <f>2459</f>
        <v>2459</v>
      </c>
    </row>
    <row r="135" spans="2:3" ht="18">
      <c r="B135" s="5" t="s">
        <v>316</v>
      </c>
      <c r="C135" s="10">
        <f>799+3781+6665+799+3781+6665</f>
        <v>22490</v>
      </c>
    </row>
    <row r="136" spans="2:3" ht="18">
      <c r="B136" s="5" t="s">
        <v>127</v>
      </c>
      <c r="C136" s="10">
        <f>10640</f>
        <v>10640</v>
      </c>
    </row>
    <row r="138" spans="2:3" ht="18">
      <c r="B138" s="5" t="s">
        <v>90</v>
      </c>
      <c r="C138" s="10">
        <f>2696+2696+2841+5555+5427+2841+5427</f>
        <v>27483</v>
      </c>
    </row>
    <row r="139" spans="2:3" ht="18">
      <c r="B139" s="5" t="s">
        <v>91</v>
      </c>
      <c r="C139" s="10"/>
    </row>
    <row r="140" spans="2:3" ht="18">
      <c r="B140" s="5" t="s">
        <v>88</v>
      </c>
      <c r="C140" s="10">
        <f>33+33+33+89+87+33+67</f>
        <v>375</v>
      </c>
    </row>
    <row r="141" spans="2:3" ht="18">
      <c r="B141" s="5" t="s">
        <v>89</v>
      </c>
      <c r="C141" s="10">
        <f>1274</f>
        <v>1274</v>
      </c>
    </row>
    <row r="142" spans="2:3" ht="18">
      <c r="B142" s="5" t="s">
        <v>92</v>
      </c>
      <c r="C142" s="10">
        <f>931+358+468+276+230+138+680+505+693+413</f>
        <v>4692</v>
      </c>
    </row>
    <row r="143" spans="2:5" ht="18">
      <c r="B143" s="5" t="s">
        <v>93</v>
      </c>
      <c r="C143" s="10">
        <f>528+1061</f>
        <v>1589</v>
      </c>
      <c r="E143" s="13"/>
    </row>
    <row r="144" spans="2:3" ht="18">
      <c r="B144" s="5" t="s">
        <v>94</v>
      </c>
      <c r="C144" s="10"/>
    </row>
    <row r="145" ht="18">
      <c r="C145" s="11">
        <f>SUM(C119:C143)</f>
        <v>129003</v>
      </c>
    </row>
    <row r="146" spans="1:7" ht="20.25">
      <c r="A146" s="4" t="s">
        <v>200</v>
      </c>
      <c r="B146" s="14" t="s">
        <v>25</v>
      </c>
      <c r="D146" s="11">
        <v>370908.64</v>
      </c>
      <c r="F146" s="12"/>
      <c r="G146" s="12"/>
    </row>
    <row r="147" spans="1:3" ht="18">
      <c r="A147" s="4" t="s">
        <v>201</v>
      </c>
      <c r="B147" s="8" t="s">
        <v>118</v>
      </c>
      <c r="C147" s="10"/>
    </row>
    <row r="148" spans="1:3" ht="18">
      <c r="A148" s="4" t="s">
        <v>202</v>
      </c>
      <c r="B148" s="8" t="s">
        <v>436</v>
      </c>
      <c r="C148" s="10">
        <f>1756</f>
        <v>1756</v>
      </c>
    </row>
    <row r="149" spans="2:3" ht="18">
      <c r="B149" s="5" t="s">
        <v>403</v>
      </c>
      <c r="C149" s="10">
        <f>112778</f>
        <v>112778</v>
      </c>
    </row>
    <row r="150" spans="2:3" ht="18">
      <c r="B150" s="8" t="s">
        <v>103</v>
      </c>
      <c r="C150" s="10">
        <f>2687+733+3318</f>
        <v>6738</v>
      </c>
    </row>
    <row r="151" spans="2:3" ht="18">
      <c r="B151" s="8" t="s">
        <v>115</v>
      </c>
      <c r="C151" s="10">
        <f>1100</f>
        <v>1100</v>
      </c>
    </row>
    <row r="152" spans="2:3" ht="18">
      <c r="B152" s="8" t="s">
        <v>145</v>
      </c>
      <c r="C152" s="10">
        <f>5679</f>
        <v>5679</v>
      </c>
    </row>
    <row r="153" spans="2:3" ht="18">
      <c r="B153" s="8" t="s">
        <v>437</v>
      </c>
      <c r="C153" s="10">
        <f>855</f>
        <v>855</v>
      </c>
    </row>
    <row r="154" spans="2:3" ht="18">
      <c r="B154" s="8" t="s">
        <v>305</v>
      </c>
      <c r="C154" s="10">
        <f>4652</f>
        <v>4652</v>
      </c>
    </row>
    <row r="155" spans="2:3" ht="18">
      <c r="B155" s="8" t="s">
        <v>341</v>
      </c>
      <c r="C155" s="10">
        <f>14804</f>
        <v>14804</v>
      </c>
    </row>
    <row r="156" spans="2:3" ht="18">
      <c r="B156" s="8" t="s">
        <v>340</v>
      </c>
      <c r="C156" s="10">
        <f>1740</f>
        <v>1740</v>
      </c>
    </row>
    <row r="157" spans="2:3" ht="18">
      <c r="B157" s="8" t="s">
        <v>133</v>
      </c>
      <c r="C157" s="10"/>
    </row>
    <row r="158" spans="2:3" ht="18">
      <c r="B158" s="8" t="s">
        <v>469</v>
      </c>
      <c r="C158" s="10">
        <f>3263</f>
        <v>3263</v>
      </c>
    </row>
    <row r="159" spans="2:3" ht="18">
      <c r="B159" s="8" t="s">
        <v>164</v>
      </c>
      <c r="C159" s="10">
        <f>5654</f>
        <v>5654</v>
      </c>
    </row>
    <row r="160" spans="2:3" ht="18">
      <c r="B160" s="8" t="s">
        <v>335</v>
      </c>
      <c r="C160" s="10">
        <v>92414</v>
      </c>
    </row>
    <row r="161" spans="2:3" ht="18">
      <c r="B161" s="8" t="s">
        <v>336</v>
      </c>
      <c r="C161" s="10">
        <v>93391</v>
      </c>
    </row>
    <row r="162" spans="2:3" ht="18">
      <c r="B162" s="8" t="s">
        <v>337</v>
      </c>
      <c r="C162" s="10">
        <v>91438</v>
      </c>
    </row>
    <row r="163" spans="2:3" ht="18">
      <c r="B163" s="8" t="s">
        <v>338</v>
      </c>
      <c r="C163" s="10">
        <v>91983</v>
      </c>
    </row>
    <row r="164" spans="2:3" ht="18">
      <c r="B164" s="8" t="s">
        <v>444</v>
      </c>
      <c r="C164" s="10">
        <f>2663</f>
        <v>2663</v>
      </c>
    </row>
    <row r="165" spans="2:3" ht="18">
      <c r="B165" s="8" t="s">
        <v>356</v>
      </c>
      <c r="C165" s="10"/>
    </row>
    <row r="166" ht="20.25">
      <c r="B166" s="14"/>
    </row>
    <row r="167" spans="2:3" ht="18">
      <c r="B167" s="5" t="s">
        <v>71</v>
      </c>
      <c r="C167" s="10">
        <f>1102+551+5283+1174+1174+1174+1761+2348</f>
        <v>14567</v>
      </c>
    </row>
    <row r="168" spans="2:3" ht="18">
      <c r="B168" s="5" t="s">
        <v>69</v>
      </c>
      <c r="C168" s="10">
        <f>394+1590+82431+2318+4682</f>
        <v>91415</v>
      </c>
    </row>
    <row r="169" spans="2:3" ht="18">
      <c r="B169" s="5" t="s">
        <v>74</v>
      </c>
      <c r="C169" s="10">
        <f>3247+3247+3247</f>
        <v>9741</v>
      </c>
    </row>
    <row r="170" spans="2:3" ht="18">
      <c r="B170" s="5" t="s">
        <v>77</v>
      </c>
      <c r="C170" s="10">
        <f>2439</f>
        <v>2439</v>
      </c>
    </row>
    <row r="171" spans="2:3" ht="18">
      <c r="B171" s="5" t="s">
        <v>326</v>
      </c>
      <c r="C171" s="10">
        <f>2685</f>
        <v>2685</v>
      </c>
    </row>
    <row r="172" spans="2:3" ht="18">
      <c r="B172" s="5" t="s">
        <v>125</v>
      </c>
      <c r="C172" s="10"/>
    </row>
    <row r="173" spans="2:3" ht="18">
      <c r="B173" s="5" t="s">
        <v>128</v>
      </c>
      <c r="C173" s="10">
        <f>3781+6665+3781+6664</f>
        <v>20891</v>
      </c>
    </row>
    <row r="174" spans="2:3" ht="18">
      <c r="B174" s="5" t="s">
        <v>110</v>
      </c>
      <c r="C174" s="10"/>
    </row>
    <row r="175" spans="2:3" ht="18">
      <c r="B175" s="5" t="s">
        <v>168</v>
      </c>
      <c r="C175" s="10">
        <f>4444+8243</f>
        <v>12687</v>
      </c>
    </row>
    <row r="176" spans="2:3" ht="18">
      <c r="B176" s="5" t="s">
        <v>127</v>
      </c>
      <c r="C176" s="10">
        <f>19220</f>
        <v>19220</v>
      </c>
    </row>
    <row r="178" spans="2:3" ht="18">
      <c r="B178" s="5" t="s">
        <v>90</v>
      </c>
      <c r="C178" s="10">
        <f>5393+5427+5682+2713+8140+2841</f>
        <v>30196</v>
      </c>
    </row>
    <row r="179" spans="2:3" ht="18">
      <c r="B179" s="5" t="s">
        <v>91</v>
      </c>
      <c r="C179" s="10"/>
    </row>
    <row r="180" spans="2:3" ht="18">
      <c r="B180" s="5" t="s">
        <v>88</v>
      </c>
      <c r="C180" s="10">
        <f>22+66+88+67+89+33+33+100+33</f>
        <v>531</v>
      </c>
    </row>
    <row r="181" spans="2:3" ht="18">
      <c r="B181" s="5" t="s">
        <v>89</v>
      </c>
      <c r="C181" s="10">
        <f>1266+5062+1274+2713</f>
        <v>10315</v>
      </c>
    </row>
    <row r="182" spans="2:3" ht="18">
      <c r="B182" s="5" t="s">
        <v>92</v>
      </c>
      <c r="C182" s="10">
        <f>561+345+345+367+227+368+367+367</f>
        <v>2947</v>
      </c>
    </row>
    <row r="183" spans="2:3" ht="18">
      <c r="B183" s="5" t="s">
        <v>93</v>
      </c>
      <c r="C183" s="10">
        <f>1583+3165</f>
        <v>4748</v>
      </c>
    </row>
    <row r="184" spans="2:3" ht="18">
      <c r="B184" s="5" t="s">
        <v>94</v>
      </c>
      <c r="C184" s="10"/>
    </row>
    <row r="185" ht="18">
      <c r="C185" s="11">
        <f>SUM(C147:C183)</f>
        <v>753290</v>
      </c>
    </row>
    <row r="186" spans="1:7" ht="20.25">
      <c r="A186" s="4" t="s">
        <v>203</v>
      </c>
      <c r="B186" s="14" t="s">
        <v>21</v>
      </c>
      <c r="D186" s="11">
        <v>46047.33</v>
      </c>
      <c r="F186" s="12"/>
      <c r="G186" s="12"/>
    </row>
    <row r="187" spans="1:3" ht="18">
      <c r="A187" s="4" t="s">
        <v>204</v>
      </c>
      <c r="B187" s="8" t="s">
        <v>170</v>
      </c>
      <c r="C187" s="10"/>
    </row>
    <row r="188" spans="1:3" ht="18">
      <c r="A188" s="4" t="s">
        <v>205</v>
      </c>
      <c r="B188" s="8" t="s">
        <v>327</v>
      </c>
      <c r="C188" s="10">
        <v>3244</v>
      </c>
    </row>
    <row r="189" ht="18">
      <c r="B189" s="8"/>
    </row>
    <row r="190" spans="2:3" ht="18">
      <c r="B190" s="5" t="s">
        <v>71</v>
      </c>
      <c r="C190" s="10"/>
    </row>
    <row r="191" spans="2:3" ht="18">
      <c r="B191" s="5" t="s">
        <v>69</v>
      </c>
      <c r="C191" s="10">
        <f>15938+7092</f>
        <v>23030</v>
      </c>
    </row>
    <row r="192" spans="2:3" ht="18">
      <c r="B192" s="5" t="s">
        <v>74</v>
      </c>
      <c r="C192" s="10"/>
    </row>
    <row r="193" spans="2:3" ht="18">
      <c r="B193" s="5" t="s">
        <v>98</v>
      </c>
      <c r="C193" s="10"/>
    </row>
    <row r="194" spans="2:3" ht="18">
      <c r="B194" s="5" t="s">
        <v>77</v>
      </c>
      <c r="C194" s="10">
        <f>3101</f>
        <v>3101</v>
      </c>
    </row>
    <row r="195" spans="2:3" ht="18">
      <c r="B195" s="5" t="s">
        <v>127</v>
      </c>
      <c r="C195" s="10">
        <f>3161</f>
        <v>3161</v>
      </c>
    </row>
    <row r="197" spans="2:3" ht="18">
      <c r="B197" s="5" t="s">
        <v>90</v>
      </c>
      <c r="C197" s="10"/>
    </row>
    <row r="198" spans="2:3" ht="18">
      <c r="B198" s="5" t="s">
        <v>91</v>
      </c>
      <c r="C198" s="10"/>
    </row>
    <row r="199" spans="2:3" ht="18">
      <c r="B199" s="5" t="s">
        <v>88</v>
      </c>
      <c r="C199" s="10"/>
    </row>
    <row r="200" spans="2:3" ht="18">
      <c r="B200" s="5" t="s">
        <v>89</v>
      </c>
      <c r="C200" s="10"/>
    </row>
    <row r="201" spans="2:3" ht="18">
      <c r="B201" s="5" t="s">
        <v>92</v>
      </c>
      <c r="C201" s="10"/>
    </row>
    <row r="202" spans="2:3" ht="18">
      <c r="B202" s="5" t="s">
        <v>93</v>
      </c>
      <c r="C202" s="10"/>
    </row>
    <row r="203" spans="2:3" ht="18">
      <c r="B203" s="5" t="s">
        <v>94</v>
      </c>
      <c r="C203" s="10"/>
    </row>
    <row r="204" ht="18">
      <c r="C204" s="11">
        <f>SUM(C187:C195)</f>
        <v>32536</v>
      </c>
    </row>
    <row r="205" spans="1:7" ht="20.25">
      <c r="A205" s="4" t="s">
        <v>206</v>
      </c>
      <c r="B205" s="14" t="s">
        <v>22</v>
      </c>
      <c r="D205" s="11">
        <v>45027.35</v>
      </c>
      <c r="F205" s="12"/>
      <c r="G205" s="12"/>
    </row>
    <row r="206" spans="1:3" ht="18">
      <c r="A206" s="4" t="s">
        <v>207</v>
      </c>
      <c r="B206" s="8" t="s">
        <v>103</v>
      </c>
      <c r="C206" s="10"/>
    </row>
    <row r="207" spans="1:3" ht="18">
      <c r="A207" s="4" t="s">
        <v>208</v>
      </c>
      <c r="B207" s="8" t="s">
        <v>178</v>
      </c>
      <c r="C207" s="10"/>
    </row>
    <row r="208" spans="2:3" ht="18">
      <c r="B208" s="8" t="s">
        <v>102</v>
      </c>
      <c r="C208" s="10" t="s">
        <v>143</v>
      </c>
    </row>
    <row r="209" spans="2:3" ht="18">
      <c r="B209" s="8" t="s">
        <v>67</v>
      </c>
      <c r="C209" s="10">
        <f>1505</f>
        <v>1505</v>
      </c>
    </row>
    <row r="210" spans="2:3" ht="18">
      <c r="B210" s="8" t="s">
        <v>368</v>
      </c>
      <c r="C210" s="10">
        <f>509</f>
        <v>509</v>
      </c>
    </row>
    <row r="211" spans="2:3" ht="18">
      <c r="B211" s="8" t="s">
        <v>327</v>
      </c>
      <c r="C211" s="10">
        <v>3244</v>
      </c>
    </row>
    <row r="212" ht="18">
      <c r="B212" s="8"/>
    </row>
    <row r="213" spans="2:3" ht="18">
      <c r="B213" s="5" t="s">
        <v>127</v>
      </c>
      <c r="C213" s="10">
        <f>3087</f>
        <v>3087</v>
      </c>
    </row>
    <row r="214" spans="2:3" ht="18">
      <c r="B214" s="5" t="s">
        <v>71</v>
      </c>
      <c r="C214" s="10">
        <f>2204+1174+1193+1174</f>
        <v>5745</v>
      </c>
    </row>
    <row r="215" spans="2:3" ht="18">
      <c r="B215" s="5" t="s">
        <v>69</v>
      </c>
      <c r="C215" s="10">
        <f>11209+7092+1193</f>
        <v>19494</v>
      </c>
    </row>
    <row r="216" spans="2:3" ht="18">
      <c r="B216" s="5" t="s">
        <v>154</v>
      </c>
      <c r="C216" s="10">
        <f>3781+6664</f>
        <v>10445</v>
      </c>
    </row>
    <row r="217" spans="2:3" ht="18">
      <c r="B217" s="5" t="s">
        <v>452</v>
      </c>
      <c r="C217" s="10">
        <f>1383</f>
        <v>1383</v>
      </c>
    </row>
    <row r="218" spans="2:3" ht="18">
      <c r="B218" s="5" t="s">
        <v>153</v>
      </c>
      <c r="C218" s="10">
        <f>8872</f>
        <v>8872</v>
      </c>
    </row>
    <row r="219" ht="20.25">
      <c r="B219" s="14"/>
    </row>
    <row r="220" spans="2:3" ht="18">
      <c r="B220" s="5" t="s">
        <v>90</v>
      </c>
      <c r="C220" s="10">
        <f>5648</f>
        <v>5648</v>
      </c>
    </row>
    <row r="221" spans="2:3" ht="18">
      <c r="B221" s="5" t="s">
        <v>91</v>
      </c>
      <c r="C221" s="10"/>
    </row>
    <row r="222" spans="2:3" ht="18">
      <c r="B222" s="5" t="s">
        <v>88</v>
      </c>
      <c r="C222" s="10">
        <f>88</f>
        <v>88</v>
      </c>
    </row>
    <row r="223" spans="2:3" ht="18">
      <c r="B223" s="5" t="s">
        <v>89</v>
      </c>
      <c r="C223" s="10">
        <f>1266</f>
        <v>1266</v>
      </c>
    </row>
    <row r="224" spans="2:3" ht="18">
      <c r="B224" s="5" t="s">
        <v>92</v>
      </c>
      <c r="C224" s="10"/>
    </row>
    <row r="225" spans="2:3" ht="18">
      <c r="B225" s="5" t="s">
        <v>93</v>
      </c>
      <c r="C225" s="10"/>
    </row>
    <row r="226" spans="2:3" ht="18">
      <c r="B226" s="5" t="s">
        <v>94</v>
      </c>
      <c r="C226" s="10"/>
    </row>
    <row r="227" ht="18">
      <c r="C227" s="11">
        <f>SUM(C208:C225)</f>
        <v>61286</v>
      </c>
    </row>
    <row r="228" spans="1:7" ht="20.25">
      <c r="A228" s="4" t="s">
        <v>209</v>
      </c>
      <c r="B228" s="14" t="s">
        <v>34</v>
      </c>
      <c r="D228" s="11">
        <v>370817.47</v>
      </c>
      <c r="F228" s="12"/>
      <c r="G228" s="12"/>
    </row>
    <row r="229" spans="1:3" ht="18">
      <c r="A229" s="4" t="s">
        <v>210</v>
      </c>
      <c r="B229" s="5" t="s">
        <v>172</v>
      </c>
      <c r="C229" s="10"/>
    </row>
    <row r="230" spans="1:3" ht="18">
      <c r="A230" s="4" t="s">
        <v>211</v>
      </c>
      <c r="B230" s="5" t="s">
        <v>342</v>
      </c>
      <c r="C230" s="10"/>
    </row>
    <row r="231" spans="2:3" ht="18">
      <c r="B231" s="5" t="s">
        <v>85</v>
      </c>
      <c r="C231" s="10">
        <f>2986</f>
        <v>2986</v>
      </c>
    </row>
    <row r="232" spans="2:3" ht="18">
      <c r="B232" s="5" t="s">
        <v>343</v>
      </c>
      <c r="C232" s="10"/>
    </row>
    <row r="233" spans="2:3" ht="18">
      <c r="B233" s="5" t="s">
        <v>344</v>
      </c>
      <c r="C233" s="10">
        <f>6271</f>
        <v>6271</v>
      </c>
    </row>
    <row r="234" spans="2:3" ht="18">
      <c r="B234" s="5" t="s">
        <v>83</v>
      </c>
      <c r="C234" s="10">
        <f>1181</f>
        <v>1181</v>
      </c>
    </row>
    <row r="235" spans="2:3" ht="18">
      <c r="B235" s="5" t="s">
        <v>118</v>
      </c>
      <c r="C235" s="10"/>
    </row>
    <row r="236" spans="2:3" ht="18">
      <c r="B236" s="5" t="s">
        <v>420</v>
      </c>
      <c r="C236" s="10">
        <f>426+158+5959</f>
        <v>6543</v>
      </c>
    </row>
    <row r="237" spans="2:3" ht="18">
      <c r="B237" s="5" t="s">
        <v>457</v>
      </c>
      <c r="C237" s="10">
        <f>4079</f>
        <v>4079</v>
      </c>
    </row>
    <row r="238" spans="2:3" ht="18">
      <c r="B238" s="5" t="s">
        <v>159</v>
      </c>
      <c r="C238" s="10"/>
    </row>
    <row r="239" spans="2:3" ht="18">
      <c r="B239" s="5" t="s">
        <v>401</v>
      </c>
      <c r="C239" s="10">
        <f>21038+153280+23308</f>
        <v>197626</v>
      </c>
    </row>
    <row r="241" spans="2:3" ht="18">
      <c r="B241" s="5" t="s">
        <v>71</v>
      </c>
      <c r="C241" s="10">
        <f>965+867+587+13280+1174+576+1174+2348</f>
        <v>20971</v>
      </c>
    </row>
    <row r="242" spans="2:3" ht="18">
      <c r="B242" s="5" t="s">
        <v>69</v>
      </c>
      <c r="C242" s="10">
        <f>398+10353</f>
        <v>10751</v>
      </c>
    </row>
    <row r="243" spans="2:3" ht="18">
      <c r="B243" s="5" t="s">
        <v>12</v>
      </c>
      <c r="C243" s="10">
        <f>3072</f>
        <v>3072</v>
      </c>
    </row>
    <row r="244" spans="2:3" ht="18">
      <c r="B244" s="5" t="s">
        <v>96</v>
      </c>
      <c r="C244" s="10"/>
    </row>
    <row r="245" spans="2:3" ht="18">
      <c r="B245" s="5" t="s">
        <v>77</v>
      </c>
      <c r="C245" s="10">
        <f>3707</f>
        <v>3707</v>
      </c>
    </row>
    <row r="246" spans="2:3" ht="18">
      <c r="B246" s="5" t="s">
        <v>74</v>
      </c>
      <c r="C246" s="10">
        <f>847</f>
        <v>847</v>
      </c>
    </row>
    <row r="247" spans="2:3" ht="18">
      <c r="B247" s="5" t="s">
        <v>109</v>
      </c>
      <c r="C247" s="10">
        <f>3393</f>
        <v>3393</v>
      </c>
    </row>
    <row r="248" spans="2:3" ht="18">
      <c r="B248" s="5" t="s">
        <v>127</v>
      </c>
      <c r="C248" s="10">
        <f>18640</f>
        <v>18640</v>
      </c>
    </row>
    <row r="250" spans="2:3" ht="18">
      <c r="B250" s="5" t="s">
        <v>90</v>
      </c>
      <c r="C250" s="10">
        <f>2696+5393+2841+2841+2713+5555+2713</f>
        <v>24752</v>
      </c>
    </row>
    <row r="251" spans="2:3" ht="18">
      <c r="B251" s="5" t="s">
        <v>91</v>
      </c>
      <c r="C251" s="10">
        <f>5514</f>
        <v>5514</v>
      </c>
    </row>
    <row r="252" spans="2:3" ht="18">
      <c r="B252" s="5" t="s">
        <v>88</v>
      </c>
      <c r="C252" s="10">
        <f>33+66+33+33+33+67+33</f>
        <v>298</v>
      </c>
    </row>
    <row r="253" spans="2:3" ht="18">
      <c r="B253" s="5" t="s">
        <v>89</v>
      </c>
      <c r="C253" s="10"/>
    </row>
    <row r="254" spans="2:3" ht="18">
      <c r="B254" s="5" t="s">
        <v>92</v>
      </c>
      <c r="C254" s="10">
        <f>173+371+184+367+509+972+184</f>
        <v>2760</v>
      </c>
    </row>
    <row r="255" spans="2:3" ht="18">
      <c r="B255" s="5" t="s">
        <v>93</v>
      </c>
      <c r="C255" s="10">
        <f>530+530</f>
        <v>1060</v>
      </c>
    </row>
    <row r="256" spans="2:3" ht="18">
      <c r="B256" s="5" t="s">
        <v>100</v>
      </c>
      <c r="C256" s="10"/>
    </row>
    <row r="257" spans="2:5" ht="18">
      <c r="B257" s="5" t="s">
        <v>94</v>
      </c>
      <c r="C257" s="10"/>
      <c r="E257" s="13"/>
    </row>
    <row r="258" ht="18">
      <c r="C258" s="11">
        <f>SUM(C229:C256)</f>
        <v>314451</v>
      </c>
    </row>
    <row r="259" spans="1:7" ht="20.25">
      <c r="A259" s="4" t="s">
        <v>209</v>
      </c>
      <c r="B259" s="14" t="s">
        <v>11</v>
      </c>
      <c r="D259" s="11">
        <v>334895.88</v>
      </c>
      <c r="F259" s="12"/>
      <c r="G259" s="12"/>
    </row>
    <row r="260" spans="1:3" ht="18">
      <c r="A260" s="4" t="s">
        <v>212</v>
      </c>
      <c r="B260" s="5" t="s">
        <v>357</v>
      </c>
      <c r="C260" s="10"/>
    </row>
    <row r="261" spans="1:3" ht="18">
      <c r="A261" s="4" t="s">
        <v>213</v>
      </c>
      <c r="B261" s="5" t="s">
        <v>159</v>
      </c>
      <c r="C261" s="10"/>
    </row>
    <row r="262" spans="2:3" ht="18">
      <c r="B262" s="5" t="s">
        <v>178</v>
      </c>
      <c r="C262" s="10"/>
    </row>
    <row r="263" spans="2:3" ht="18">
      <c r="B263" s="5" t="s">
        <v>131</v>
      </c>
      <c r="C263" s="10"/>
    </row>
    <row r="264" spans="2:3" ht="18">
      <c r="B264" s="5" t="s">
        <v>124</v>
      </c>
      <c r="C264" s="10">
        <f>3301+2623+2201+3318</f>
        <v>11443</v>
      </c>
    </row>
    <row r="265" spans="2:3" ht="18">
      <c r="B265" s="5" t="s">
        <v>121</v>
      </c>
      <c r="C265" s="10"/>
    </row>
    <row r="266" spans="2:3" ht="18">
      <c r="B266" s="8" t="s">
        <v>446</v>
      </c>
      <c r="C266" s="10">
        <f>982+1181+1477+2007+6221</f>
        <v>11868</v>
      </c>
    </row>
    <row r="267" spans="2:3" ht="18">
      <c r="B267" s="5" t="s">
        <v>145</v>
      </c>
      <c r="C267" s="10">
        <f>7945</f>
        <v>7945</v>
      </c>
    </row>
    <row r="268" spans="2:3" ht="18">
      <c r="B268" s="5" t="s">
        <v>165</v>
      </c>
      <c r="C268" s="10"/>
    </row>
    <row r="269" spans="2:3" ht="18">
      <c r="B269" s="5" t="s">
        <v>85</v>
      </c>
      <c r="C269" s="10">
        <f>1424+4494+485+3583+733</f>
        <v>10719</v>
      </c>
    </row>
    <row r="270" spans="2:3" ht="18">
      <c r="B270" s="5" t="s">
        <v>414</v>
      </c>
      <c r="C270" s="10">
        <f>41267</f>
        <v>41267</v>
      </c>
    </row>
    <row r="272" spans="2:3" ht="18">
      <c r="B272" s="5" t="s">
        <v>71</v>
      </c>
      <c r="C272" s="10">
        <f>1661+376+2204+1761+1174+1174+1174+2161+2802+1174</f>
        <v>15661</v>
      </c>
    </row>
    <row r="273" spans="2:3" ht="18">
      <c r="B273" s="5" t="s">
        <v>69</v>
      </c>
      <c r="C273" s="10">
        <f>52581+8152+2605</f>
        <v>63338</v>
      </c>
    </row>
    <row r="274" spans="2:3" ht="18">
      <c r="B274" s="5" t="s">
        <v>74</v>
      </c>
      <c r="C274" s="10">
        <f>14134+3298+14170+2007+1528+903+6600</f>
        <v>42640</v>
      </c>
    </row>
    <row r="275" spans="2:3" ht="18">
      <c r="B275" s="5" t="s">
        <v>12</v>
      </c>
      <c r="C275" s="10"/>
    </row>
    <row r="276" spans="2:3" ht="18">
      <c r="B276" s="5" t="s">
        <v>77</v>
      </c>
      <c r="C276" s="10">
        <f>5422+362+2423+7291</f>
        <v>15498</v>
      </c>
    </row>
    <row r="277" spans="2:3" ht="18">
      <c r="B277" s="5" t="s">
        <v>326</v>
      </c>
      <c r="C277" s="10">
        <f>2684+2685</f>
        <v>5369</v>
      </c>
    </row>
    <row r="278" spans="2:3" ht="18">
      <c r="B278" s="5" t="s">
        <v>98</v>
      </c>
      <c r="C278" s="10">
        <f>2542</f>
        <v>2542</v>
      </c>
    </row>
    <row r="279" spans="2:3" ht="18">
      <c r="B279" s="5" t="s">
        <v>319</v>
      </c>
      <c r="C279" s="10">
        <f>3781+6664+3781+6664</f>
        <v>20890</v>
      </c>
    </row>
    <row r="280" spans="2:3" ht="18">
      <c r="B280" s="5" t="s">
        <v>127</v>
      </c>
      <c r="C280" s="10">
        <f>16535</f>
        <v>16535</v>
      </c>
    </row>
    <row r="282" spans="2:3" ht="18">
      <c r="B282" s="5" t="s">
        <v>90</v>
      </c>
      <c r="C282" s="10">
        <f>2696+3080+2713+5427+5427+5554+8396+6066</f>
        <v>39359</v>
      </c>
    </row>
    <row r="283" spans="2:3" ht="18">
      <c r="B283" s="5" t="s">
        <v>91</v>
      </c>
      <c r="C283" s="10">
        <f>5514</f>
        <v>5514</v>
      </c>
    </row>
    <row r="284" spans="2:3" ht="18">
      <c r="B284" s="5" t="s">
        <v>88</v>
      </c>
      <c r="C284" s="10">
        <f>22+11+55+33+67+67+69+33+122+111</f>
        <v>590</v>
      </c>
    </row>
    <row r="285" spans="2:3" ht="18">
      <c r="B285" s="5" t="s">
        <v>89</v>
      </c>
      <c r="C285" s="10">
        <f>1266+1266+1274+2549</f>
        <v>6355</v>
      </c>
    </row>
    <row r="286" spans="2:3" ht="18">
      <c r="B286" s="5" t="s">
        <v>92</v>
      </c>
      <c r="C286" s="10">
        <f>759+888+475+431+184+647+230+972+526+551</f>
        <v>5663</v>
      </c>
    </row>
    <row r="287" spans="2:3" ht="18">
      <c r="B287" s="5" t="s">
        <v>93</v>
      </c>
      <c r="C287" s="10">
        <f>1055</f>
        <v>1055</v>
      </c>
    </row>
    <row r="288" spans="2:3" ht="18">
      <c r="B288" s="5" t="s">
        <v>94</v>
      </c>
      <c r="C288" s="10"/>
    </row>
    <row r="289" ht="18">
      <c r="C289" s="11">
        <f>SUM(C260:C287)</f>
        <v>324251</v>
      </c>
    </row>
    <row r="290" spans="1:7" ht="20.25">
      <c r="A290" s="4" t="s">
        <v>214</v>
      </c>
      <c r="B290" s="14" t="s">
        <v>35</v>
      </c>
      <c r="D290" s="11">
        <v>167379.56</v>
      </c>
      <c r="F290" s="12"/>
      <c r="G290" s="12"/>
    </row>
    <row r="291" spans="1:3" ht="18">
      <c r="A291" s="4" t="s">
        <v>215</v>
      </c>
      <c r="B291" s="8" t="s">
        <v>103</v>
      </c>
      <c r="C291" s="10"/>
    </row>
    <row r="292" spans="1:3" ht="18">
      <c r="A292" s="4" t="s">
        <v>216</v>
      </c>
      <c r="B292" s="8" t="s">
        <v>104</v>
      </c>
      <c r="C292" s="10"/>
    </row>
    <row r="293" spans="2:3" ht="18">
      <c r="B293" s="8" t="s">
        <v>83</v>
      </c>
      <c r="C293" s="10">
        <f>1204</f>
        <v>1204</v>
      </c>
    </row>
    <row r="294" spans="2:3" ht="18">
      <c r="B294" s="8" t="s">
        <v>345</v>
      </c>
      <c r="C294" s="10">
        <f>2382</f>
        <v>2382</v>
      </c>
    </row>
    <row r="295" spans="2:3" ht="18">
      <c r="B295" s="8" t="s">
        <v>157</v>
      </c>
      <c r="C295" s="10"/>
    </row>
    <row r="296" spans="2:3" ht="18">
      <c r="B296" s="8" t="s">
        <v>150</v>
      </c>
      <c r="C296" s="10"/>
    </row>
    <row r="297" spans="2:3" ht="18">
      <c r="B297" s="8" t="s">
        <v>385</v>
      </c>
      <c r="C297" s="10">
        <f>10346</f>
        <v>10346</v>
      </c>
    </row>
    <row r="298" spans="2:3" ht="18">
      <c r="B298" s="8" t="s">
        <v>124</v>
      </c>
      <c r="C298" s="10"/>
    </row>
    <row r="299" ht="20.25">
      <c r="B299" s="14"/>
    </row>
    <row r="300" spans="2:3" ht="18">
      <c r="B300" s="8" t="s">
        <v>71</v>
      </c>
      <c r="C300" s="10">
        <f>2204+1102+1174+1174</f>
        <v>5654</v>
      </c>
    </row>
    <row r="301" spans="2:3" ht="18">
      <c r="B301" s="5" t="s">
        <v>69</v>
      </c>
      <c r="C301" s="10">
        <f>4708+795+34520</f>
        <v>40023</v>
      </c>
    </row>
    <row r="302" spans="2:3" ht="18">
      <c r="B302" s="5" t="s">
        <v>74</v>
      </c>
      <c r="C302" s="10"/>
    </row>
    <row r="303" spans="2:3" ht="18">
      <c r="B303" s="5" t="s">
        <v>129</v>
      </c>
      <c r="C303" s="10"/>
    </row>
    <row r="304" spans="2:3" ht="18">
      <c r="B304" s="5" t="s">
        <v>12</v>
      </c>
      <c r="C304" s="10">
        <f>8887</f>
        <v>8887</v>
      </c>
    </row>
    <row r="305" spans="2:3" ht="18">
      <c r="B305" s="5" t="s">
        <v>96</v>
      </c>
      <c r="C305" s="10">
        <f>5514</f>
        <v>5514</v>
      </c>
    </row>
    <row r="306" spans="2:3" ht="18">
      <c r="B306" s="5" t="s">
        <v>154</v>
      </c>
      <c r="C306" s="10">
        <f>1199+3781+6665</f>
        <v>11645</v>
      </c>
    </row>
    <row r="307" spans="2:3" ht="18">
      <c r="B307" s="5" t="s">
        <v>127</v>
      </c>
      <c r="C307" s="10">
        <f>7729</f>
        <v>7729</v>
      </c>
    </row>
    <row r="309" spans="2:3" ht="18">
      <c r="B309" s="5" t="s">
        <v>90</v>
      </c>
      <c r="C309" s="10">
        <f>2696+2952+47911+5427</f>
        <v>58986</v>
      </c>
    </row>
    <row r="310" spans="2:3" ht="18">
      <c r="B310" s="5" t="s">
        <v>91</v>
      </c>
      <c r="C310" s="10"/>
    </row>
    <row r="311" spans="2:3" ht="18">
      <c r="B311" s="5" t="s">
        <v>88</v>
      </c>
      <c r="C311" s="10">
        <f>33+33+2004+67</f>
        <v>2137</v>
      </c>
    </row>
    <row r="312" spans="2:3" ht="18">
      <c r="B312" s="5" t="s">
        <v>89</v>
      </c>
      <c r="C312" s="10"/>
    </row>
    <row r="313" spans="2:3" ht="18">
      <c r="B313" s="5" t="s">
        <v>92</v>
      </c>
      <c r="C313" s="10">
        <f>358+173+278+173+459+184</f>
        <v>1625</v>
      </c>
    </row>
    <row r="314" spans="2:3" ht="18">
      <c r="B314" s="5" t="s">
        <v>93</v>
      </c>
      <c r="C314" s="10">
        <f>11455+7227+530</f>
        <v>19212</v>
      </c>
    </row>
    <row r="315" spans="2:3" ht="18">
      <c r="B315" s="5" t="s">
        <v>100</v>
      </c>
      <c r="C315" s="10">
        <f>14182+2945+281+1260+1701+53</f>
        <v>20422</v>
      </c>
    </row>
    <row r="316" spans="2:3" ht="18">
      <c r="B316" s="5" t="s">
        <v>94</v>
      </c>
      <c r="C316" s="10"/>
    </row>
    <row r="317" ht="18">
      <c r="C317" s="11">
        <f>SUM(C291:C316)</f>
        <v>195766</v>
      </c>
    </row>
    <row r="318" spans="1:7" ht="20.25">
      <c r="A318" s="4" t="s">
        <v>206</v>
      </c>
      <c r="B318" s="14" t="s">
        <v>36</v>
      </c>
      <c r="D318" s="11">
        <v>130563.35</v>
      </c>
      <c r="F318" s="12"/>
      <c r="G318" s="12"/>
    </row>
    <row r="319" spans="1:3" ht="18">
      <c r="A319" s="4" t="s">
        <v>217</v>
      </c>
      <c r="B319" s="8" t="s">
        <v>103</v>
      </c>
      <c r="C319" s="10"/>
    </row>
    <row r="320" spans="1:3" ht="18">
      <c r="A320" s="4" t="s">
        <v>218</v>
      </c>
      <c r="B320" s="5" t="s">
        <v>358</v>
      </c>
      <c r="C320" s="10"/>
    </row>
    <row r="321" spans="2:3" ht="18">
      <c r="B321" s="8" t="s">
        <v>170</v>
      </c>
      <c r="C321" s="10"/>
    </row>
    <row r="322" spans="2:3" ht="18">
      <c r="B322" s="5" t="s">
        <v>359</v>
      </c>
      <c r="C322" s="10"/>
    </row>
    <row r="323" spans="2:3" ht="18">
      <c r="B323" s="5" t="s">
        <v>130</v>
      </c>
      <c r="C323" s="10"/>
    </row>
    <row r="324" spans="2:3" ht="18">
      <c r="B324" s="5" t="s">
        <v>315</v>
      </c>
      <c r="C324" s="10"/>
    </row>
    <row r="325" spans="2:3" ht="18">
      <c r="B325" s="8" t="s">
        <v>157</v>
      </c>
      <c r="C325" s="10"/>
    </row>
    <row r="326" spans="2:3" ht="18">
      <c r="B326" s="8" t="s">
        <v>150</v>
      </c>
      <c r="C326" s="10"/>
    </row>
    <row r="328" spans="2:3" ht="18">
      <c r="B328" s="5" t="s">
        <v>71</v>
      </c>
      <c r="C328" s="10">
        <f>1174+1174+587</f>
        <v>2935</v>
      </c>
    </row>
    <row r="329" spans="2:3" ht="18">
      <c r="B329" s="5" t="s">
        <v>69</v>
      </c>
      <c r="C329" s="10">
        <f>788+6420</f>
        <v>7208</v>
      </c>
    </row>
    <row r="330" spans="2:3" ht="18">
      <c r="B330" s="5" t="s">
        <v>135</v>
      </c>
      <c r="C330" s="10"/>
    </row>
    <row r="331" spans="2:3" ht="18">
      <c r="B331" s="5" t="s">
        <v>74</v>
      </c>
      <c r="C331" s="10">
        <f>6039</f>
        <v>6039</v>
      </c>
    </row>
    <row r="332" spans="2:3" ht="18">
      <c r="B332" s="5" t="s">
        <v>127</v>
      </c>
      <c r="C332" s="10">
        <f>6911</f>
        <v>6911</v>
      </c>
    </row>
    <row r="334" spans="2:3" ht="18">
      <c r="B334" s="5" t="s">
        <v>90</v>
      </c>
      <c r="C334" s="10">
        <f>5299+2713</f>
        <v>8012</v>
      </c>
    </row>
    <row r="335" spans="2:3" ht="18">
      <c r="B335" s="5" t="s">
        <v>91</v>
      </c>
      <c r="C335" s="10"/>
    </row>
    <row r="336" spans="2:3" ht="18">
      <c r="B336" s="5" t="s">
        <v>88</v>
      </c>
      <c r="C336" s="10">
        <f>67</f>
        <v>67</v>
      </c>
    </row>
    <row r="337" spans="2:3" ht="18">
      <c r="B337" s="5" t="s">
        <v>89</v>
      </c>
      <c r="C337" s="10"/>
    </row>
    <row r="338" spans="2:3" ht="18">
      <c r="B338" s="5" t="s">
        <v>92</v>
      </c>
      <c r="C338" s="10">
        <f>184</f>
        <v>184</v>
      </c>
    </row>
    <row r="339" spans="2:3" ht="18">
      <c r="B339" s="5" t="s">
        <v>93</v>
      </c>
      <c r="C339" s="10"/>
    </row>
    <row r="340" spans="2:3" ht="18">
      <c r="B340" s="5" t="s">
        <v>94</v>
      </c>
      <c r="C340" s="10"/>
    </row>
    <row r="341" ht="18">
      <c r="C341" s="11">
        <f>SUM(C319:C339)</f>
        <v>31356</v>
      </c>
    </row>
    <row r="342" spans="1:7" ht="20.25">
      <c r="A342" s="4" t="s">
        <v>219</v>
      </c>
      <c r="B342" s="14" t="s">
        <v>37</v>
      </c>
      <c r="D342" s="11">
        <v>84065.86</v>
      </c>
      <c r="F342" s="12"/>
      <c r="G342" s="12"/>
    </row>
    <row r="343" spans="1:3" ht="18">
      <c r="A343" s="4" t="s">
        <v>220</v>
      </c>
      <c r="B343" s="8" t="s">
        <v>117</v>
      </c>
      <c r="C343" s="10"/>
    </row>
    <row r="344" spans="1:3" ht="18">
      <c r="A344" s="4" t="s">
        <v>221</v>
      </c>
      <c r="B344" s="5" t="s">
        <v>66</v>
      </c>
      <c r="C344" s="10"/>
    </row>
    <row r="345" spans="2:3" ht="18">
      <c r="B345" s="5" t="s">
        <v>360</v>
      </c>
      <c r="C345" s="10"/>
    </row>
    <row r="346" spans="2:3" ht="18">
      <c r="B346" s="5" t="s">
        <v>158</v>
      </c>
      <c r="C346" s="10"/>
    </row>
    <row r="347" spans="2:4" ht="18">
      <c r="B347" s="8" t="s">
        <v>180</v>
      </c>
      <c r="C347" s="10"/>
      <c r="D347" s="13"/>
    </row>
    <row r="348" spans="2:4" ht="18">
      <c r="B348" s="8" t="s">
        <v>468</v>
      </c>
      <c r="C348" s="10">
        <f>3550</f>
        <v>3550</v>
      </c>
      <c r="D348" s="13"/>
    </row>
    <row r="349" spans="2:4" ht="18">
      <c r="B349" s="8" t="s">
        <v>429</v>
      </c>
      <c r="C349" s="10">
        <f>3057</f>
        <v>3057</v>
      </c>
      <c r="D349" s="13"/>
    </row>
    <row r="350" spans="2:4" ht="18">
      <c r="B350" s="8" t="s">
        <v>101</v>
      </c>
      <c r="C350" s="10"/>
      <c r="D350" s="13"/>
    </row>
    <row r="351" spans="2:4" ht="18">
      <c r="B351" s="8" t="s">
        <v>159</v>
      </c>
      <c r="C351" s="10"/>
      <c r="D351" s="13"/>
    </row>
    <row r="353" spans="2:3" ht="18">
      <c r="B353" s="5" t="s">
        <v>71</v>
      </c>
      <c r="C353" s="10">
        <f>1174+1174</f>
        <v>2348</v>
      </c>
    </row>
    <row r="354" spans="2:3" ht="18">
      <c r="B354" s="5" t="s">
        <v>69</v>
      </c>
      <c r="C354" s="10">
        <f>7989</f>
        <v>7989</v>
      </c>
    </row>
    <row r="355" spans="2:3" ht="18">
      <c r="B355" s="5" t="s">
        <v>12</v>
      </c>
      <c r="C355" s="10"/>
    </row>
    <row r="356" spans="2:3" ht="18">
      <c r="B356" s="5" t="s">
        <v>74</v>
      </c>
      <c r="C356" s="10"/>
    </row>
    <row r="357" spans="2:3" ht="18">
      <c r="B357" s="5" t="s">
        <v>77</v>
      </c>
      <c r="C357" s="10"/>
    </row>
    <row r="358" spans="2:3" ht="18">
      <c r="B358" s="5" t="s">
        <v>135</v>
      </c>
      <c r="C358" s="10">
        <f>2542</f>
        <v>2542</v>
      </c>
    </row>
    <row r="359" spans="2:3" ht="18">
      <c r="B359" s="5" t="s">
        <v>127</v>
      </c>
      <c r="C359" s="10">
        <f>5166</f>
        <v>5166</v>
      </c>
    </row>
    <row r="361" spans="2:3" ht="18">
      <c r="B361" s="5" t="s">
        <v>90</v>
      </c>
      <c r="C361" s="10">
        <f>2696</f>
        <v>2696</v>
      </c>
    </row>
    <row r="362" spans="2:3" ht="18">
      <c r="B362" s="5" t="s">
        <v>91</v>
      </c>
      <c r="C362" s="10"/>
    </row>
    <row r="363" spans="2:3" ht="18">
      <c r="B363" s="5" t="s">
        <v>88</v>
      </c>
      <c r="C363" s="10">
        <f>33</f>
        <v>33</v>
      </c>
    </row>
    <row r="364" spans="2:3" ht="18">
      <c r="B364" s="5" t="s">
        <v>89</v>
      </c>
      <c r="C364" s="10"/>
    </row>
    <row r="365" spans="2:3" ht="18">
      <c r="B365" s="5" t="s">
        <v>92</v>
      </c>
      <c r="C365" s="10">
        <f>92+788</f>
        <v>880</v>
      </c>
    </row>
    <row r="366" spans="2:5" ht="18">
      <c r="B366" s="5" t="s">
        <v>93</v>
      </c>
      <c r="C366" s="10"/>
      <c r="E366" s="13"/>
    </row>
    <row r="367" spans="2:3" ht="18">
      <c r="B367" s="5" t="s">
        <v>94</v>
      </c>
      <c r="C367" s="10"/>
    </row>
    <row r="368" ht="18">
      <c r="C368" s="11">
        <f>SUM(C343:C367)</f>
        <v>28261</v>
      </c>
    </row>
    <row r="369" spans="1:7" ht="20.25">
      <c r="A369" s="4" t="s">
        <v>222</v>
      </c>
      <c r="B369" s="14" t="s">
        <v>38</v>
      </c>
      <c r="D369" s="11">
        <v>81433.28</v>
      </c>
      <c r="F369" s="12"/>
      <c r="G369" s="12"/>
    </row>
    <row r="370" spans="1:3" ht="18">
      <c r="A370" s="4" t="s">
        <v>223</v>
      </c>
      <c r="B370" s="8" t="s">
        <v>114</v>
      </c>
      <c r="C370" s="10"/>
    </row>
    <row r="371" spans="1:3" ht="18">
      <c r="A371" s="4" t="s">
        <v>224</v>
      </c>
      <c r="B371" s="8" t="s">
        <v>170</v>
      </c>
      <c r="C371" s="10"/>
    </row>
    <row r="372" spans="2:3" ht="18">
      <c r="B372" s="8" t="s">
        <v>117</v>
      </c>
      <c r="C372" s="10"/>
    </row>
    <row r="373" spans="2:3" ht="18">
      <c r="B373" s="8" t="s">
        <v>133</v>
      </c>
      <c r="C373" s="10"/>
    </row>
    <row r="374" spans="2:3" ht="18">
      <c r="B374" s="8" t="s">
        <v>123</v>
      </c>
      <c r="C374" s="10"/>
    </row>
    <row r="375" spans="2:3" ht="18">
      <c r="B375" s="8" t="s">
        <v>138</v>
      </c>
      <c r="C375" s="10"/>
    </row>
    <row r="376" spans="2:3" ht="18">
      <c r="B376" s="8" t="s">
        <v>314</v>
      </c>
      <c r="C376" s="10"/>
    </row>
    <row r="377" spans="2:3" ht="18">
      <c r="B377" s="8" t="s">
        <v>159</v>
      </c>
      <c r="C377" s="10"/>
    </row>
    <row r="378" spans="2:3" ht="18">
      <c r="B378" s="8" t="s">
        <v>134</v>
      </c>
      <c r="C378" s="10"/>
    </row>
    <row r="379" spans="2:3" ht="18">
      <c r="B379" s="8" t="s">
        <v>136</v>
      </c>
      <c r="C379" s="10"/>
    </row>
    <row r="381" spans="2:3" ht="18">
      <c r="B381" s="5" t="s">
        <v>71</v>
      </c>
      <c r="C381" s="10"/>
    </row>
    <row r="382" spans="2:3" ht="18">
      <c r="B382" s="5" t="s">
        <v>69</v>
      </c>
      <c r="C382" s="10">
        <f>9456</f>
        <v>9456</v>
      </c>
    </row>
    <row r="383" spans="2:3" ht="18">
      <c r="B383" s="5" t="s">
        <v>72</v>
      </c>
      <c r="C383" s="10"/>
    </row>
    <row r="384" spans="2:3" ht="18">
      <c r="B384" s="5" t="s">
        <v>81</v>
      </c>
      <c r="C384" s="10">
        <f>2438</f>
        <v>2438</v>
      </c>
    </row>
    <row r="385" spans="2:3" ht="18">
      <c r="B385" s="5" t="s">
        <v>74</v>
      </c>
      <c r="C385" s="10"/>
    </row>
    <row r="386" spans="2:3" ht="18">
      <c r="B386" s="5" t="s">
        <v>127</v>
      </c>
      <c r="C386" s="10">
        <f>4146</f>
        <v>4146</v>
      </c>
    </row>
    <row r="388" spans="2:3" ht="18">
      <c r="B388" s="5" t="s">
        <v>90</v>
      </c>
      <c r="C388" s="10"/>
    </row>
    <row r="389" spans="2:3" ht="18">
      <c r="B389" s="5" t="s">
        <v>91</v>
      </c>
      <c r="C389" s="10"/>
    </row>
    <row r="390" spans="2:3" ht="18">
      <c r="B390" s="5" t="s">
        <v>88</v>
      </c>
      <c r="C390" s="10"/>
    </row>
    <row r="391" spans="2:3" ht="18">
      <c r="B391" s="5" t="s">
        <v>89</v>
      </c>
      <c r="C391" s="10"/>
    </row>
    <row r="392" spans="2:3" ht="18">
      <c r="B392" s="5" t="s">
        <v>92</v>
      </c>
      <c r="C392" s="10"/>
    </row>
    <row r="393" spans="2:3" ht="18">
      <c r="B393" s="5" t="s">
        <v>93</v>
      </c>
      <c r="C393" s="10"/>
    </row>
    <row r="394" spans="2:3" ht="18">
      <c r="B394" s="5" t="s">
        <v>94</v>
      </c>
      <c r="C394" s="10"/>
    </row>
    <row r="395" ht="18">
      <c r="C395" s="11">
        <f>SUM(C370:C394)</f>
        <v>16040</v>
      </c>
    </row>
    <row r="396" spans="1:7" ht="20.25">
      <c r="A396" s="4" t="s">
        <v>225</v>
      </c>
      <c r="B396" s="14" t="s">
        <v>39</v>
      </c>
      <c r="D396" s="11">
        <v>160028.86</v>
      </c>
      <c r="F396" s="12"/>
      <c r="G396" s="12"/>
    </row>
    <row r="397" spans="1:3" ht="18">
      <c r="A397" s="4" t="s">
        <v>226</v>
      </c>
      <c r="B397" s="8" t="s">
        <v>323</v>
      </c>
      <c r="C397" s="10">
        <f>4263</f>
        <v>4263</v>
      </c>
    </row>
    <row r="398" spans="1:3" ht="18">
      <c r="A398" s="4" t="s">
        <v>227</v>
      </c>
      <c r="B398" s="5" t="s">
        <v>124</v>
      </c>
      <c r="C398" s="10"/>
    </row>
    <row r="399" spans="2:3" ht="18">
      <c r="B399" s="5" t="s">
        <v>314</v>
      </c>
      <c r="C399" s="10"/>
    </row>
    <row r="400" spans="2:3" ht="18">
      <c r="B400" s="8" t="s">
        <v>85</v>
      </c>
      <c r="C400" s="10">
        <f>597</f>
        <v>597</v>
      </c>
    </row>
    <row r="401" spans="2:3" ht="18">
      <c r="B401" s="8" t="s">
        <v>159</v>
      </c>
      <c r="C401" s="10"/>
    </row>
    <row r="402" ht="18">
      <c r="B402" s="17"/>
    </row>
    <row r="403" spans="2:3" ht="18">
      <c r="B403" s="5" t="s">
        <v>71</v>
      </c>
      <c r="C403" s="10">
        <f>551+1174+2348+1174+1174+1174+1174+2685</f>
        <v>11454</v>
      </c>
    </row>
    <row r="404" spans="2:3" ht="18">
      <c r="B404" s="5" t="s">
        <v>69</v>
      </c>
      <c r="C404" s="10">
        <f>788+795+16773</f>
        <v>18356</v>
      </c>
    </row>
    <row r="405" spans="2:3" ht="18">
      <c r="B405" s="5" t="s">
        <v>74</v>
      </c>
      <c r="C405" s="10"/>
    </row>
    <row r="406" spans="2:3" ht="18">
      <c r="B406" s="5" t="s">
        <v>110</v>
      </c>
      <c r="C406" s="10"/>
    </row>
    <row r="407" spans="2:3" ht="18">
      <c r="B407" s="5" t="s">
        <v>72</v>
      </c>
      <c r="C407" s="10">
        <f>689</f>
        <v>689</v>
      </c>
    </row>
    <row r="408" spans="2:3" ht="18">
      <c r="B408" s="5" t="s">
        <v>12</v>
      </c>
      <c r="C408" s="10"/>
    </row>
    <row r="409" spans="2:3" ht="18">
      <c r="B409" s="5" t="s">
        <v>127</v>
      </c>
      <c r="C409" s="10">
        <f>9405</f>
        <v>9405</v>
      </c>
    </row>
    <row r="411" spans="2:3" ht="18">
      <c r="B411" s="5" t="s">
        <v>90</v>
      </c>
      <c r="C411" s="10">
        <f>2696+5554+2841</f>
        <v>11091</v>
      </c>
    </row>
    <row r="412" spans="2:3" ht="18">
      <c r="B412" s="5" t="s">
        <v>91</v>
      </c>
      <c r="C412" s="10"/>
    </row>
    <row r="413" spans="2:3" ht="18">
      <c r="B413" s="5" t="s">
        <v>88</v>
      </c>
      <c r="C413" s="10">
        <f>33+67+33</f>
        <v>133</v>
      </c>
    </row>
    <row r="414" spans="2:3" ht="18">
      <c r="B414" s="5" t="s">
        <v>89</v>
      </c>
      <c r="C414" s="10"/>
    </row>
    <row r="415" spans="2:3" ht="18">
      <c r="B415" s="5" t="s">
        <v>92</v>
      </c>
      <c r="C415" s="10">
        <f>173+184+184+601</f>
        <v>1142</v>
      </c>
    </row>
    <row r="416" spans="2:3" ht="18">
      <c r="B416" s="5" t="s">
        <v>93</v>
      </c>
      <c r="C416" s="10"/>
    </row>
    <row r="417" spans="2:3" ht="18">
      <c r="B417" s="5" t="s">
        <v>94</v>
      </c>
      <c r="C417" s="10"/>
    </row>
    <row r="418" ht="18">
      <c r="C418" s="11">
        <f>SUM(C397:C416)</f>
        <v>57130</v>
      </c>
    </row>
    <row r="419" spans="1:7" ht="20.25">
      <c r="A419" s="4" t="s">
        <v>222</v>
      </c>
      <c r="B419" s="14" t="s">
        <v>40</v>
      </c>
      <c r="D419" s="11">
        <v>246966.62</v>
      </c>
      <c r="F419" s="12"/>
      <c r="G419" s="12"/>
    </row>
    <row r="420" spans="1:3" ht="18">
      <c r="A420" s="4" t="s">
        <v>228</v>
      </c>
      <c r="B420" s="5" t="s">
        <v>124</v>
      </c>
      <c r="C420" s="10">
        <f>1100+2212</f>
        <v>3312</v>
      </c>
    </row>
    <row r="421" spans="1:3" ht="18">
      <c r="A421" s="4" t="s">
        <v>229</v>
      </c>
      <c r="B421" s="5" t="s">
        <v>357</v>
      </c>
      <c r="C421" s="10"/>
    </row>
    <row r="422" spans="2:3" ht="18">
      <c r="B422" s="5" t="s">
        <v>361</v>
      </c>
      <c r="C422" s="10"/>
    </row>
    <row r="423" spans="2:3" ht="18">
      <c r="B423" s="8" t="s">
        <v>85</v>
      </c>
      <c r="C423" s="10">
        <f>1424+1552+3131</f>
        <v>6107</v>
      </c>
    </row>
    <row r="424" spans="2:3" ht="18">
      <c r="B424" s="8" t="s">
        <v>83</v>
      </c>
      <c r="C424" s="10">
        <f>1181</f>
        <v>1181</v>
      </c>
    </row>
    <row r="425" spans="2:3" ht="18">
      <c r="B425" s="8" t="s">
        <v>302</v>
      </c>
      <c r="C425" s="10"/>
    </row>
    <row r="426" spans="2:3" ht="18">
      <c r="B426" s="8" t="s">
        <v>296</v>
      </c>
      <c r="C426" s="10"/>
    </row>
    <row r="427" spans="2:3" ht="18">
      <c r="B427" s="5" t="s">
        <v>145</v>
      </c>
      <c r="C427" s="10">
        <f>5959</f>
        <v>5959</v>
      </c>
    </row>
    <row r="428" spans="2:3" ht="18">
      <c r="B428" s="5" t="s">
        <v>413</v>
      </c>
      <c r="C428" s="10">
        <f>24044+97053</f>
        <v>121097</v>
      </c>
    </row>
    <row r="429" spans="2:3" ht="18">
      <c r="B429" s="5" t="s">
        <v>159</v>
      </c>
      <c r="C429" s="10"/>
    </row>
    <row r="430" ht="20.25">
      <c r="B430" s="14"/>
    </row>
    <row r="431" spans="2:3" ht="18">
      <c r="B431" s="8" t="s">
        <v>71</v>
      </c>
      <c r="C431" s="10">
        <f>2755+1761+1174+1988+12490+2348+814</f>
        <v>23330</v>
      </c>
    </row>
    <row r="432" spans="2:3" ht="18">
      <c r="B432" s="5" t="s">
        <v>69</v>
      </c>
      <c r="C432" s="10">
        <f>6496+8947+6521+4891</f>
        <v>26855</v>
      </c>
    </row>
    <row r="433" spans="2:3" ht="18">
      <c r="B433" s="5" t="s">
        <v>74</v>
      </c>
      <c r="C433" s="10">
        <f>2497+2997+3010+6258+3247+9661</f>
        <v>27670</v>
      </c>
    </row>
    <row r="434" spans="2:3" ht="18">
      <c r="B434" s="5" t="s">
        <v>98</v>
      </c>
      <c r="C434" s="10"/>
    </row>
    <row r="435" spans="2:3" ht="18">
      <c r="B435" s="5" t="s">
        <v>433</v>
      </c>
      <c r="C435" s="10">
        <f>376</f>
        <v>376</v>
      </c>
    </row>
    <row r="436" spans="2:3" ht="18">
      <c r="B436" s="5" t="s">
        <v>76</v>
      </c>
      <c r="C436" s="10"/>
    </row>
    <row r="437" spans="2:3" ht="18">
      <c r="B437" s="5" t="s">
        <v>12</v>
      </c>
      <c r="C437" s="10">
        <f>6143+6655</f>
        <v>12798</v>
      </c>
    </row>
    <row r="438" spans="2:3" ht="18">
      <c r="B438" s="5" t="s">
        <v>127</v>
      </c>
      <c r="C438" s="10">
        <f>12349</f>
        <v>12349</v>
      </c>
    </row>
    <row r="440" spans="2:3" ht="18">
      <c r="B440" s="5" t="s">
        <v>90</v>
      </c>
      <c r="C440" s="10">
        <f>5521+2696+2841+5427+8140+5427</f>
        <v>30052</v>
      </c>
    </row>
    <row r="441" spans="2:3" ht="18">
      <c r="B441" s="5" t="s">
        <v>91</v>
      </c>
      <c r="C441" s="10"/>
    </row>
    <row r="442" spans="2:3" ht="18">
      <c r="B442" s="5" t="s">
        <v>88</v>
      </c>
      <c r="C442" s="10">
        <f>66+33+33+67+100+67</f>
        <v>366</v>
      </c>
    </row>
    <row r="443" spans="2:3" ht="18">
      <c r="B443" s="5" t="s">
        <v>89</v>
      </c>
      <c r="C443" s="10"/>
    </row>
    <row r="444" spans="2:3" ht="18">
      <c r="B444" s="5" t="s">
        <v>92</v>
      </c>
      <c r="C444" s="10">
        <f>388+742+413+417</f>
        <v>1960</v>
      </c>
    </row>
    <row r="445" spans="2:5" ht="18">
      <c r="B445" s="5" t="s">
        <v>93</v>
      </c>
      <c r="C445" s="10"/>
      <c r="E445" s="13"/>
    </row>
    <row r="446" spans="2:3" ht="18">
      <c r="B446" s="5" t="s">
        <v>94</v>
      </c>
      <c r="C446" s="10"/>
    </row>
    <row r="447" ht="18">
      <c r="C447" s="11">
        <f>SUM(C420:C445)</f>
        <v>273412</v>
      </c>
    </row>
    <row r="448" spans="1:7" ht="20.25">
      <c r="A448" s="4" t="s">
        <v>197</v>
      </c>
      <c r="B448" s="14" t="s">
        <v>13</v>
      </c>
      <c r="D448" s="11">
        <v>38998.63</v>
      </c>
      <c r="F448" s="12"/>
      <c r="G448" s="12"/>
    </row>
    <row r="449" spans="1:3" ht="18">
      <c r="A449" s="4" t="s">
        <v>230</v>
      </c>
      <c r="B449" s="8" t="s">
        <v>170</v>
      </c>
      <c r="C449" s="18"/>
    </row>
    <row r="450" spans="1:3" ht="18">
      <c r="A450" s="4" t="s">
        <v>231</v>
      </c>
      <c r="B450" s="8" t="s">
        <v>85</v>
      </c>
      <c r="C450" s="18"/>
    </row>
    <row r="451" spans="2:3" ht="18">
      <c r="B451" s="8" t="s">
        <v>124</v>
      </c>
      <c r="C451" s="18"/>
    </row>
    <row r="452" ht="20.25">
      <c r="B452" s="14"/>
    </row>
    <row r="453" spans="2:3" ht="18">
      <c r="B453" s="5" t="s">
        <v>153</v>
      </c>
      <c r="C453" s="10">
        <f>2554</f>
        <v>2554</v>
      </c>
    </row>
    <row r="454" spans="2:3" ht="18">
      <c r="B454" s="5" t="s">
        <v>71</v>
      </c>
      <c r="C454" s="10">
        <f>1102+1174</f>
        <v>2276</v>
      </c>
    </row>
    <row r="455" spans="2:3" ht="18">
      <c r="B455" s="5" t="s">
        <v>72</v>
      </c>
      <c r="C455" s="10"/>
    </row>
    <row r="456" spans="2:3" ht="18">
      <c r="B456" s="5" t="s">
        <v>127</v>
      </c>
      <c r="C456" s="10">
        <f>2131</f>
        <v>2131</v>
      </c>
    </row>
    <row r="458" spans="2:3" ht="18">
      <c r="B458" s="5" t="s">
        <v>90</v>
      </c>
      <c r="C458" s="10"/>
    </row>
    <row r="459" spans="2:3" ht="18">
      <c r="B459" s="5" t="s">
        <v>91</v>
      </c>
      <c r="C459" s="10"/>
    </row>
    <row r="460" spans="2:3" ht="18">
      <c r="B460" s="5" t="s">
        <v>88</v>
      </c>
      <c r="C460" s="10"/>
    </row>
    <row r="461" spans="2:3" ht="18">
      <c r="B461" s="5" t="s">
        <v>89</v>
      </c>
      <c r="C461" s="10"/>
    </row>
    <row r="462" spans="2:3" ht="18">
      <c r="B462" s="5" t="s">
        <v>92</v>
      </c>
      <c r="C462" s="10">
        <f>173+230+371+276</f>
        <v>1050</v>
      </c>
    </row>
    <row r="463" spans="2:5" ht="18">
      <c r="B463" s="5" t="s">
        <v>93</v>
      </c>
      <c r="C463" s="10"/>
      <c r="E463" s="13"/>
    </row>
    <row r="464" spans="2:3" ht="18">
      <c r="B464" s="5" t="s">
        <v>94</v>
      </c>
      <c r="C464" s="10"/>
    </row>
    <row r="465" ht="18">
      <c r="C465" s="11">
        <f>SUM(C453:C463)</f>
        <v>8011</v>
      </c>
    </row>
    <row r="466" spans="1:7" ht="20.25">
      <c r="A466" s="4" t="s">
        <v>232</v>
      </c>
      <c r="B466" s="14" t="s">
        <v>27</v>
      </c>
      <c r="D466" s="11">
        <v>481459.84</v>
      </c>
      <c r="F466" s="12"/>
      <c r="G466" s="12"/>
    </row>
    <row r="467" spans="1:3" ht="18">
      <c r="A467" s="4" t="s">
        <v>233</v>
      </c>
      <c r="B467" s="8" t="s">
        <v>85</v>
      </c>
      <c r="C467" s="10">
        <f>484+3882</f>
        <v>4366</v>
      </c>
    </row>
    <row r="468" spans="1:3" ht="18">
      <c r="A468" s="4" t="s">
        <v>234</v>
      </c>
      <c r="B468" s="8" t="s">
        <v>416</v>
      </c>
      <c r="C468" s="10">
        <f>1477+1204+2509</f>
        <v>5190</v>
      </c>
    </row>
    <row r="469" spans="2:3" ht="18">
      <c r="B469" s="8" t="s">
        <v>346</v>
      </c>
      <c r="C469" s="10">
        <f>2623+2201+900+4666</f>
        <v>10390</v>
      </c>
    </row>
    <row r="470" spans="2:3" ht="18">
      <c r="B470" s="8" t="s">
        <v>374</v>
      </c>
      <c r="C470" s="10">
        <f>1106</f>
        <v>1106</v>
      </c>
    </row>
    <row r="471" spans="2:3" ht="18">
      <c r="B471" s="5" t="s">
        <v>424</v>
      </c>
      <c r="C471" s="10">
        <f>11657+5976</f>
        <v>17633</v>
      </c>
    </row>
    <row r="472" spans="2:3" ht="18">
      <c r="B472" s="5" t="s">
        <v>411</v>
      </c>
      <c r="C472" s="10">
        <f>3421</f>
        <v>3421</v>
      </c>
    </row>
    <row r="473" spans="2:3" ht="18">
      <c r="B473" s="5" t="s">
        <v>107</v>
      </c>
      <c r="C473" s="10"/>
    </row>
    <row r="474" spans="2:3" ht="18">
      <c r="B474" s="5" t="s">
        <v>458</v>
      </c>
      <c r="C474" s="10">
        <f>53115+6526+9466</f>
        <v>69107</v>
      </c>
    </row>
    <row r="475" spans="2:3" ht="18">
      <c r="B475" s="5" t="s">
        <v>295</v>
      </c>
      <c r="C475" s="10"/>
    </row>
    <row r="476" spans="2:3" ht="18">
      <c r="B476" s="5" t="s">
        <v>470</v>
      </c>
      <c r="C476" s="10">
        <f>15045</f>
        <v>15045</v>
      </c>
    </row>
    <row r="477" spans="2:3" ht="18">
      <c r="B477" s="5" t="s">
        <v>398</v>
      </c>
      <c r="C477" s="10">
        <f>789</f>
        <v>789</v>
      </c>
    </row>
    <row r="478" spans="2:3" ht="18">
      <c r="B478" s="5" t="s">
        <v>440</v>
      </c>
      <c r="C478" s="10">
        <f>2808</f>
        <v>2808</v>
      </c>
    </row>
    <row r="479" spans="2:3" ht="18">
      <c r="B479" s="5" t="s">
        <v>441</v>
      </c>
      <c r="C479" s="10">
        <f>742</f>
        <v>742</v>
      </c>
    </row>
    <row r="480" spans="2:3" ht="18">
      <c r="B480" s="5" t="s">
        <v>305</v>
      </c>
      <c r="C480" s="10"/>
    </row>
    <row r="481" spans="2:3" ht="18">
      <c r="B481" s="5" t="s">
        <v>297</v>
      </c>
      <c r="C481" s="10">
        <f>185</f>
        <v>185</v>
      </c>
    </row>
    <row r="482" spans="2:3" ht="18">
      <c r="B482" s="5" t="s">
        <v>145</v>
      </c>
      <c r="C482" s="10">
        <f>12777</f>
        <v>12777</v>
      </c>
    </row>
    <row r="483" ht="20.25">
      <c r="B483" s="16"/>
    </row>
    <row r="484" spans="2:3" ht="18">
      <c r="B484" s="5" t="s">
        <v>71</v>
      </c>
      <c r="C484" s="10">
        <f>2755+6768+2204+4109+3522+2348+25897+3522+1174</f>
        <v>52299</v>
      </c>
    </row>
    <row r="485" spans="2:3" ht="18">
      <c r="B485" s="5" t="s">
        <v>69</v>
      </c>
      <c r="C485" s="10">
        <f>1576+4872+795+795+29591</f>
        <v>37629</v>
      </c>
    </row>
    <row r="486" spans="2:3" ht="18">
      <c r="B486" s="5" t="s">
        <v>74</v>
      </c>
      <c r="C486" s="10">
        <f>7990+2746+3010+2210</f>
        <v>15956</v>
      </c>
    </row>
    <row r="487" spans="2:3" ht="18">
      <c r="B487" s="5" t="s">
        <v>81</v>
      </c>
      <c r="C487" s="10">
        <f>31616+417+2593</f>
        <v>34626</v>
      </c>
    </row>
    <row r="488" spans="2:3" ht="18">
      <c r="B488" s="5" t="s">
        <v>12</v>
      </c>
      <c r="C488" s="10"/>
    </row>
    <row r="489" spans="2:3" ht="18">
      <c r="B489" s="5" t="s">
        <v>350</v>
      </c>
      <c r="C489" s="10">
        <f>1351+378+756+2684+1662</f>
        <v>6831</v>
      </c>
    </row>
    <row r="490" spans="2:3" ht="18">
      <c r="B490" s="5" t="s">
        <v>153</v>
      </c>
      <c r="C490" s="10">
        <f>5369</f>
        <v>5369</v>
      </c>
    </row>
    <row r="491" spans="2:3" ht="18">
      <c r="B491" s="5" t="s">
        <v>77</v>
      </c>
      <c r="C491" s="10">
        <f>4934+2760+6508+2742</f>
        <v>16944</v>
      </c>
    </row>
    <row r="492" spans="2:3" ht="18">
      <c r="B492" s="5" t="s">
        <v>72</v>
      </c>
      <c r="C492" s="10">
        <f>3445</f>
        <v>3445</v>
      </c>
    </row>
    <row r="493" spans="2:3" ht="18">
      <c r="B493" s="5" t="s">
        <v>127</v>
      </c>
      <c r="C493" s="10">
        <f>22309</f>
        <v>22309</v>
      </c>
    </row>
    <row r="495" spans="2:3" ht="18">
      <c r="B495" s="5" t="s">
        <v>90</v>
      </c>
      <c r="C495" s="10">
        <f>5393+2952+8089+7629+5427+13567+8396+10981+5682</f>
        <v>68116</v>
      </c>
    </row>
    <row r="496" spans="2:3" ht="18">
      <c r="B496" s="5" t="s">
        <v>91</v>
      </c>
      <c r="C496" s="10">
        <f>5017+5514+7326+2930</f>
        <v>20787</v>
      </c>
    </row>
    <row r="497" spans="2:3" ht="18">
      <c r="B497" s="5" t="s">
        <v>88</v>
      </c>
      <c r="C497" s="10">
        <f>66+77+99+301+67+67+167+1265+134+66+67</f>
        <v>2376</v>
      </c>
    </row>
    <row r="498" spans="2:3" ht="18">
      <c r="B498" s="5" t="s">
        <v>89</v>
      </c>
      <c r="C498" s="10">
        <f>2531+3823+7646</f>
        <v>14000</v>
      </c>
    </row>
    <row r="499" spans="2:5" ht="18">
      <c r="B499" s="5" t="s">
        <v>92</v>
      </c>
      <c r="C499" s="10">
        <f>719+1258+573+561+643+842+371+880+230+551+1562+1297+1901</f>
        <v>11388</v>
      </c>
      <c r="E499" s="13"/>
    </row>
    <row r="500" spans="2:5" ht="18">
      <c r="B500" s="5" t="s">
        <v>100</v>
      </c>
      <c r="C500" s="10">
        <f>1791</f>
        <v>1791</v>
      </c>
      <c r="E500" s="13"/>
    </row>
    <row r="501" spans="2:3" ht="18">
      <c r="B501" s="5" t="s">
        <v>93</v>
      </c>
      <c r="C501" s="10">
        <f>528+4242+2121</f>
        <v>6891</v>
      </c>
    </row>
    <row r="502" spans="2:3" ht="18">
      <c r="B502" s="5" t="s">
        <v>94</v>
      </c>
      <c r="C502" s="10"/>
    </row>
    <row r="503" ht="18">
      <c r="C503" s="11">
        <f>SUM(C467:C502)</f>
        <v>464316</v>
      </c>
    </row>
    <row r="504" spans="1:7" ht="20.25">
      <c r="A504" s="4" t="s">
        <v>235</v>
      </c>
      <c r="B504" s="14" t="s">
        <v>6</v>
      </c>
      <c r="D504" s="11">
        <v>157726.77</v>
      </c>
      <c r="F504" s="12"/>
      <c r="G504" s="12"/>
    </row>
    <row r="505" spans="1:3" ht="18">
      <c r="A505" s="4" t="s">
        <v>236</v>
      </c>
      <c r="B505" s="8" t="s">
        <v>137</v>
      </c>
      <c r="C505" s="10"/>
    </row>
    <row r="506" spans="1:3" ht="18">
      <c r="A506" s="4" t="s">
        <v>237</v>
      </c>
      <c r="B506" s="8" t="s">
        <v>85</v>
      </c>
      <c r="C506" s="10">
        <f>282</f>
        <v>282</v>
      </c>
    </row>
    <row r="507" spans="2:3" ht="18">
      <c r="B507" s="5" t="s">
        <v>105</v>
      </c>
      <c r="C507" s="10"/>
    </row>
    <row r="508" spans="2:3" ht="18">
      <c r="B508" s="5" t="s">
        <v>299</v>
      </c>
      <c r="C508" s="10"/>
    </row>
    <row r="509" spans="2:3" ht="18">
      <c r="B509" s="5" t="s">
        <v>322</v>
      </c>
      <c r="C509" s="10"/>
    </row>
    <row r="510" spans="2:3" ht="18">
      <c r="B510" s="5" t="s">
        <v>132</v>
      </c>
      <c r="C510" s="10">
        <f>131333</f>
        <v>131333</v>
      </c>
    </row>
    <row r="511" spans="2:3" ht="18">
      <c r="B511" s="5" t="s">
        <v>126</v>
      </c>
      <c r="C511" s="10">
        <f>131945</f>
        <v>131945</v>
      </c>
    </row>
    <row r="512" spans="2:3" ht="18">
      <c r="B512" s="5" t="s">
        <v>124</v>
      </c>
      <c r="C512" s="10"/>
    </row>
    <row r="513" spans="2:3" ht="18">
      <c r="B513" s="5" t="s">
        <v>313</v>
      </c>
      <c r="C513" s="10">
        <f>3010</f>
        <v>3010</v>
      </c>
    </row>
    <row r="514" spans="2:3" ht="18">
      <c r="B514" s="8" t="s">
        <v>459</v>
      </c>
      <c r="C514" s="10">
        <f>2842+9466</f>
        <v>12308</v>
      </c>
    </row>
    <row r="515" spans="2:3" ht="18">
      <c r="B515" s="8" t="s">
        <v>307</v>
      </c>
      <c r="C515" s="10">
        <f>8227+5060+370</f>
        <v>13657</v>
      </c>
    </row>
    <row r="516" spans="2:3" ht="18">
      <c r="B516" s="5" t="s">
        <v>371</v>
      </c>
      <c r="C516" s="10">
        <f>800</f>
        <v>800</v>
      </c>
    </row>
    <row r="517" spans="2:3" ht="18">
      <c r="B517" s="8" t="s">
        <v>372</v>
      </c>
      <c r="C517" s="10">
        <f>185</f>
        <v>185</v>
      </c>
    </row>
    <row r="518" spans="2:3" ht="18">
      <c r="B518" s="8" t="s">
        <v>151</v>
      </c>
      <c r="C518" s="10">
        <f>1200</f>
        <v>1200</v>
      </c>
    </row>
    <row r="520" spans="2:3" ht="18">
      <c r="B520" s="5" t="s">
        <v>71</v>
      </c>
      <c r="C520" s="10">
        <f>1102+603+1102+1174+1174+1761+587</f>
        <v>7503</v>
      </c>
    </row>
    <row r="521" spans="2:3" ht="18">
      <c r="B521" s="5" t="s">
        <v>69</v>
      </c>
      <c r="C521" s="10">
        <f>1576+795</f>
        <v>2371</v>
      </c>
    </row>
    <row r="522" spans="2:3" ht="18">
      <c r="B522" s="5" t="s">
        <v>72</v>
      </c>
      <c r="C522" s="10">
        <f>1393</f>
        <v>1393</v>
      </c>
    </row>
    <row r="523" spans="2:3" ht="18">
      <c r="B523" s="5" t="s">
        <v>98</v>
      </c>
      <c r="C523" s="10">
        <f>3705</f>
        <v>3705</v>
      </c>
    </row>
    <row r="524" spans="2:3" ht="18">
      <c r="B524" s="5" t="s">
        <v>12</v>
      </c>
      <c r="C524" s="10">
        <f>10710</f>
        <v>10710</v>
      </c>
    </row>
    <row r="525" spans="2:3" ht="18">
      <c r="B525" s="5" t="s">
        <v>74</v>
      </c>
      <c r="C525" s="10"/>
    </row>
    <row r="526" spans="2:3" ht="18">
      <c r="B526" s="5" t="s">
        <v>127</v>
      </c>
      <c r="C526" s="10">
        <f>10400</f>
        <v>10400</v>
      </c>
    </row>
    <row r="528" spans="2:3" ht="18">
      <c r="B528" s="5" t="s">
        <v>90</v>
      </c>
      <c r="C528" s="10">
        <f>2396</f>
        <v>2396</v>
      </c>
    </row>
    <row r="529" spans="2:3" ht="18">
      <c r="B529" s="5" t="s">
        <v>91</v>
      </c>
      <c r="C529" s="10">
        <f>2760</f>
        <v>2760</v>
      </c>
    </row>
    <row r="530" spans="2:3" ht="18">
      <c r="B530" s="5" t="s">
        <v>88</v>
      </c>
      <c r="C530" s="10">
        <f>167</f>
        <v>167</v>
      </c>
    </row>
    <row r="531" spans="2:3" ht="18">
      <c r="B531" s="5" t="s">
        <v>142</v>
      </c>
      <c r="C531" s="10"/>
    </row>
    <row r="532" spans="2:3" ht="18">
      <c r="B532" s="5" t="s">
        <v>92</v>
      </c>
      <c r="C532" s="10">
        <f>2611+1588+184+281</f>
        <v>4664</v>
      </c>
    </row>
    <row r="533" spans="2:3" ht="18">
      <c r="B533" s="5" t="s">
        <v>93</v>
      </c>
      <c r="C533" s="10"/>
    </row>
    <row r="534" spans="2:3" ht="18">
      <c r="B534" s="5" t="s">
        <v>94</v>
      </c>
      <c r="C534" s="10"/>
    </row>
    <row r="535" ht="18">
      <c r="C535" s="11">
        <f>SUM(C505:C534)</f>
        <v>340789</v>
      </c>
    </row>
    <row r="536" spans="1:7" ht="20.25">
      <c r="A536" s="4" t="s">
        <v>235</v>
      </c>
      <c r="B536" s="14" t="s">
        <v>7</v>
      </c>
      <c r="D536" s="11">
        <v>157288.01</v>
      </c>
      <c r="F536" s="12"/>
      <c r="G536" s="12"/>
    </row>
    <row r="537" spans="1:3" ht="18">
      <c r="A537" s="4" t="s">
        <v>238</v>
      </c>
      <c r="B537" s="8" t="s">
        <v>460</v>
      </c>
      <c r="C537" s="10">
        <f>9466</f>
        <v>9466</v>
      </c>
    </row>
    <row r="538" spans="1:3" ht="18">
      <c r="A538" s="4" t="s">
        <v>239</v>
      </c>
      <c r="B538" s="5" t="s">
        <v>105</v>
      </c>
      <c r="C538" s="10"/>
    </row>
    <row r="539" spans="2:3" ht="18">
      <c r="B539" s="8" t="s">
        <v>83</v>
      </c>
      <c r="C539" s="10">
        <f>982</f>
        <v>982</v>
      </c>
    </row>
    <row r="540" spans="2:3" ht="18">
      <c r="B540" s="8" t="s">
        <v>425</v>
      </c>
      <c r="C540" s="10">
        <f>5976</f>
        <v>5976</v>
      </c>
    </row>
    <row r="541" spans="2:3" ht="18">
      <c r="B541" s="8" t="s">
        <v>85</v>
      </c>
      <c r="C541" s="10">
        <f>488</f>
        <v>488</v>
      </c>
    </row>
    <row r="542" spans="2:3" ht="18">
      <c r="B542" s="5" t="s">
        <v>157</v>
      </c>
      <c r="C542" s="10"/>
    </row>
    <row r="543" spans="2:3" ht="18">
      <c r="B543" s="5" t="s">
        <v>124</v>
      </c>
      <c r="C543" s="10">
        <f>2212</f>
        <v>2212</v>
      </c>
    </row>
    <row r="544" spans="2:3" ht="18">
      <c r="B544" s="5" t="s">
        <v>163</v>
      </c>
      <c r="C544" s="10"/>
    </row>
    <row r="546" spans="2:3" ht="18">
      <c r="B546" s="8" t="s">
        <v>71</v>
      </c>
      <c r="C546" s="10">
        <f>1761</f>
        <v>1761</v>
      </c>
    </row>
    <row r="547" spans="2:3" ht="18">
      <c r="B547" s="5" t="s">
        <v>69</v>
      </c>
      <c r="C547" s="10">
        <f>398</f>
        <v>398</v>
      </c>
    </row>
    <row r="548" spans="2:3" ht="18">
      <c r="B548" s="5" t="s">
        <v>169</v>
      </c>
      <c r="C548" s="10">
        <f>2555+3645</f>
        <v>6200</v>
      </c>
    </row>
    <row r="549" spans="2:3" ht="18">
      <c r="B549" s="5" t="s">
        <v>168</v>
      </c>
      <c r="C549" s="10"/>
    </row>
    <row r="550" spans="2:3" ht="18">
      <c r="B550" s="5" t="s">
        <v>127</v>
      </c>
      <c r="C550" s="10">
        <f>10400</f>
        <v>10400</v>
      </c>
    </row>
    <row r="551" spans="2:3" ht="18">
      <c r="B551" s="5" t="s">
        <v>98</v>
      </c>
      <c r="C551" s="10"/>
    </row>
    <row r="552" spans="2:3" ht="18">
      <c r="B552" s="5" t="s">
        <v>74</v>
      </c>
      <c r="C552" s="10">
        <f>3247</f>
        <v>3247</v>
      </c>
    </row>
    <row r="553" spans="2:3" ht="18">
      <c r="B553" s="5" t="s">
        <v>293</v>
      </c>
      <c r="C553" s="10"/>
    </row>
    <row r="555" spans="2:3" ht="18">
      <c r="B555" s="5" t="s">
        <v>90</v>
      </c>
      <c r="C555" s="10">
        <f>2696+2713+11365+2713+2713</f>
        <v>22200</v>
      </c>
    </row>
    <row r="556" spans="2:3" ht="18">
      <c r="B556" s="5" t="s">
        <v>91</v>
      </c>
      <c r="C556" s="10">
        <f>33</f>
        <v>33</v>
      </c>
    </row>
    <row r="557" spans="2:3" ht="18">
      <c r="B557" s="5" t="s">
        <v>88</v>
      </c>
      <c r="C557" s="10">
        <f>33+223+33+78+33</f>
        <v>400</v>
      </c>
    </row>
    <row r="558" spans="2:3" ht="18">
      <c r="B558" s="5" t="s">
        <v>141</v>
      </c>
      <c r="C558" s="10">
        <f>5097+3922</f>
        <v>9019</v>
      </c>
    </row>
    <row r="559" spans="2:3" ht="18">
      <c r="B559" s="5" t="s">
        <v>92</v>
      </c>
      <c r="C559" s="10">
        <f>129+138+555</f>
        <v>822</v>
      </c>
    </row>
    <row r="560" spans="2:3" ht="18">
      <c r="B560" s="5" t="s">
        <v>93</v>
      </c>
      <c r="C560" s="10">
        <f>2121</f>
        <v>2121</v>
      </c>
    </row>
    <row r="561" spans="2:3" ht="18">
      <c r="B561" s="5" t="s">
        <v>94</v>
      </c>
      <c r="C561" s="10"/>
    </row>
    <row r="562" ht="18">
      <c r="C562" s="11">
        <f>SUM(C537:C561)</f>
        <v>75725</v>
      </c>
    </row>
    <row r="563" spans="1:7" ht="20.25">
      <c r="A563" s="4" t="s">
        <v>240</v>
      </c>
      <c r="B563" s="14" t="s">
        <v>41</v>
      </c>
      <c r="D563" s="11">
        <v>281366.79</v>
      </c>
      <c r="F563" s="12"/>
      <c r="G563" s="12"/>
    </row>
    <row r="564" spans="1:3" ht="18">
      <c r="A564" s="4" t="s">
        <v>241</v>
      </c>
      <c r="B564" s="8" t="s">
        <v>85</v>
      </c>
      <c r="C564" s="10">
        <f>3571+1792</f>
        <v>5363</v>
      </c>
    </row>
    <row r="565" spans="1:3" ht="18">
      <c r="A565" s="4" t="s">
        <v>242</v>
      </c>
      <c r="B565" s="5" t="s">
        <v>124</v>
      </c>
      <c r="C565" s="10">
        <f>2212</f>
        <v>2212</v>
      </c>
    </row>
    <row r="566" spans="2:3" ht="18">
      <c r="B566" s="5" t="s">
        <v>317</v>
      </c>
      <c r="C566" s="10"/>
    </row>
    <row r="567" spans="2:3" ht="18">
      <c r="B567" s="5" t="s">
        <v>106</v>
      </c>
      <c r="C567" s="10"/>
    </row>
    <row r="568" spans="2:3" ht="18">
      <c r="B568" s="5" t="s">
        <v>449</v>
      </c>
      <c r="C568" s="10">
        <f>2039</f>
        <v>2039</v>
      </c>
    </row>
    <row r="569" spans="2:3" ht="18">
      <c r="B569" s="8" t="s">
        <v>370</v>
      </c>
      <c r="C569" s="10">
        <f>6021</f>
        <v>6021</v>
      </c>
    </row>
    <row r="570" spans="2:3" ht="18">
      <c r="B570" s="8" t="s">
        <v>166</v>
      </c>
      <c r="C570" s="10"/>
    </row>
    <row r="571" spans="2:3" ht="18">
      <c r="B571" s="8" t="s">
        <v>407</v>
      </c>
      <c r="C571" s="10">
        <f>27049+15027</f>
        <v>42076</v>
      </c>
    </row>
    <row r="572" spans="2:3" ht="18">
      <c r="B572" s="8" t="s">
        <v>145</v>
      </c>
      <c r="C572" s="10">
        <f>1704</f>
        <v>1704</v>
      </c>
    </row>
    <row r="573" ht="20.25">
      <c r="B573" s="14"/>
    </row>
    <row r="574" spans="2:3" ht="18">
      <c r="B574" s="5" t="s">
        <v>71</v>
      </c>
      <c r="C574" s="10">
        <f>551+19092+2348+587+1174+2935</f>
        <v>26687</v>
      </c>
    </row>
    <row r="575" spans="2:3" ht="18">
      <c r="B575" s="5" t="s">
        <v>69</v>
      </c>
      <c r="C575" s="10">
        <f>2783+2538</f>
        <v>5321</v>
      </c>
    </row>
    <row r="576" spans="2:3" ht="18">
      <c r="B576" s="5" t="s">
        <v>77</v>
      </c>
      <c r="C576" s="10">
        <f>1754</f>
        <v>1754</v>
      </c>
    </row>
    <row r="577" spans="2:3" ht="18">
      <c r="B577" s="5" t="s">
        <v>74</v>
      </c>
      <c r="C577" s="10">
        <f>6925+5017</f>
        <v>11942</v>
      </c>
    </row>
    <row r="578" spans="2:3" ht="18">
      <c r="B578" s="5" t="s">
        <v>431</v>
      </c>
      <c r="C578" s="10">
        <f>6287+7783+1324+6711+8054</f>
        <v>30159</v>
      </c>
    </row>
    <row r="579" spans="2:3" ht="18">
      <c r="B579" s="5" t="s">
        <v>98</v>
      </c>
      <c r="C579" s="10"/>
    </row>
    <row r="580" spans="2:3" ht="18">
      <c r="B580" s="5" t="s">
        <v>12</v>
      </c>
      <c r="C580" s="10"/>
    </row>
    <row r="581" spans="2:3" ht="18">
      <c r="B581" s="5" t="s">
        <v>127</v>
      </c>
      <c r="C581" s="10">
        <f>15456</f>
        <v>15456</v>
      </c>
    </row>
    <row r="583" spans="2:3" ht="18">
      <c r="B583" s="5" t="s">
        <v>90</v>
      </c>
      <c r="C583" s="10">
        <f>2697+8089+8396+2713+8140+5427+2713+3273+8140</f>
        <v>49588</v>
      </c>
    </row>
    <row r="584" spans="2:3" ht="18">
      <c r="B584" s="5" t="s">
        <v>91</v>
      </c>
      <c r="C584" s="10"/>
    </row>
    <row r="585" spans="2:3" ht="18">
      <c r="B585" s="5" t="s">
        <v>88</v>
      </c>
      <c r="C585" s="10">
        <f>33+22+99+122+33+22+100+67+33+33+100</f>
        <v>664</v>
      </c>
    </row>
    <row r="586" spans="2:3" ht="18">
      <c r="B586" s="5" t="s">
        <v>89</v>
      </c>
      <c r="C586" s="10">
        <f>1266+1274+1274</f>
        <v>3814</v>
      </c>
    </row>
    <row r="587" spans="2:3" ht="18">
      <c r="B587" s="5" t="s">
        <v>92</v>
      </c>
      <c r="C587" s="10">
        <f>617+184+182+184+509+555+184+413+926</f>
        <v>3754</v>
      </c>
    </row>
    <row r="588" spans="2:3" ht="18">
      <c r="B588" s="5" t="s">
        <v>93</v>
      </c>
      <c r="C588" s="10">
        <f>1055+1061</f>
        <v>2116</v>
      </c>
    </row>
    <row r="589" spans="2:3" ht="18">
      <c r="B589" s="5" t="s">
        <v>94</v>
      </c>
      <c r="C589" s="10"/>
    </row>
    <row r="590" ht="18">
      <c r="C590" s="11">
        <f>SUM(C564:C588)</f>
        <v>210670</v>
      </c>
    </row>
    <row r="591" spans="1:7" ht="20.25">
      <c r="A591" s="4" t="s">
        <v>240</v>
      </c>
      <c r="B591" s="14" t="s">
        <v>42</v>
      </c>
      <c r="D591" s="11">
        <v>166587.51</v>
      </c>
      <c r="F591" s="12"/>
      <c r="G591" s="12"/>
    </row>
    <row r="592" spans="1:3" ht="18">
      <c r="A592" s="4" t="s">
        <v>243</v>
      </c>
      <c r="B592" s="8" t="s">
        <v>145</v>
      </c>
      <c r="C592" s="10">
        <f>852</f>
        <v>852</v>
      </c>
    </row>
    <row r="593" spans="1:3" ht="18">
      <c r="A593" s="4" t="s">
        <v>244</v>
      </c>
      <c r="B593" s="8" t="s">
        <v>149</v>
      </c>
      <c r="C593" s="10"/>
    </row>
    <row r="594" spans="2:3" ht="18">
      <c r="B594" s="5" t="s">
        <v>159</v>
      </c>
      <c r="C594" s="10"/>
    </row>
    <row r="595" spans="2:3" ht="18">
      <c r="B595" s="8" t="s">
        <v>85</v>
      </c>
      <c r="C595" s="10">
        <f>1194</f>
        <v>1194</v>
      </c>
    </row>
    <row r="596" spans="2:3" ht="18">
      <c r="B596" s="8" t="s">
        <v>406</v>
      </c>
      <c r="C596" s="10">
        <f>75137+84154</f>
        <v>159291</v>
      </c>
    </row>
    <row r="597" ht="20.25">
      <c r="B597" s="14"/>
    </row>
    <row r="598" spans="2:3" ht="18">
      <c r="B598" s="5" t="s">
        <v>71</v>
      </c>
      <c r="C598" s="10">
        <f>10281</f>
        <v>10281</v>
      </c>
    </row>
    <row r="599" spans="2:3" ht="18">
      <c r="B599" s="5" t="s">
        <v>69</v>
      </c>
      <c r="C599" s="10"/>
    </row>
    <row r="600" spans="2:3" ht="18">
      <c r="B600" s="5" t="s">
        <v>77</v>
      </c>
      <c r="C600" s="10"/>
    </row>
    <row r="601" spans="2:3" ht="18">
      <c r="B601" s="5" t="s">
        <v>80</v>
      </c>
      <c r="C601" s="10"/>
    </row>
    <row r="602" spans="2:3" ht="18">
      <c r="B602" s="5" t="s">
        <v>431</v>
      </c>
      <c r="C602" s="10">
        <f>2673+1366+6711</f>
        <v>10750</v>
      </c>
    </row>
    <row r="603" spans="2:3" ht="18">
      <c r="B603" s="5" t="s">
        <v>69</v>
      </c>
      <c r="C603" s="10"/>
    </row>
    <row r="604" spans="2:3" ht="18">
      <c r="B604" s="5" t="s">
        <v>472</v>
      </c>
      <c r="C604" s="10">
        <f>10446</f>
        <v>10446</v>
      </c>
    </row>
    <row r="605" spans="2:3" ht="18">
      <c r="B605" s="5" t="s">
        <v>74</v>
      </c>
      <c r="C605" s="10">
        <f>7261+1019+3760</f>
        <v>12040</v>
      </c>
    </row>
    <row r="606" spans="2:3" ht="18">
      <c r="B606" s="5" t="s">
        <v>127</v>
      </c>
      <c r="C606" s="10">
        <f>8238</f>
        <v>8238</v>
      </c>
    </row>
    <row r="608" spans="2:3" ht="18">
      <c r="B608" s="5" t="s">
        <v>90</v>
      </c>
      <c r="C608" s="10">
        <f>2696+2696+5393+2713+2841+3352+5427</f>
        <v>25118</v>
      </c>
    </row>
    <row r="609" spans="2:3" ht="18">
      <c r="B609" s="5" t="s">
        <v>91</v>
      </c>
      <c r="C609" s="10"/>
    </row>
    <row r="610" spans="2:3" ht="18">
      <c r="B610" s="5" t="s">
        <v>88</v>
      </c>
      <c r="C610" s="10">
        <f>33+33+66+22+89+45+33+67</f>
        <v>388</v>
      </c>
    </row>
    <row r="611" spans="2:3" ht="18">
      <c r="B611" s="5" t="s">
        <v>89</v>
      </c>
      <c r="C611" s="10">
        <f>1266+3723+2549</f>
        <v>7538</v>
      </c>
    </row>
    <row r="612" spans="2:3" ht="18">
      <c r="B612" s="5" t="s">
        <v>92</v>
      </c>
      <c r="C612" s="10">
        <f>216+226+345+184+184</f>
        <v>1155</v>
      </c>
    </row>
    <row r="613" spans="2:3" ht="18">
      <c r="B613" s="5" t="s">
        <v>93</v>
      </c>
      <c r="C613" s="10">
        <f>1055+2121</f>
        <v>3176</v>
      </c>
    </row>
    <row r="614" spans="2:3" ht="18">
      <c r="B614" s="5" t="s">
        <v>453</v>
      </c>
      <c r="C614" s="10">
        <f>3201</f>
        <v>3201</v>
      </c>
    </row>
    <row r="615" ht="18">
      <c r="C615" s="11">
        <f>SUM(C592:C613)</f>
        <v>250467</v>
      </c>
    </row>
    <row r="616" spans="1:7" ht="20.25">
      <c r="A616" s="4" t="s">
        <v>245</v>
      </c>
      <c r="B616" s="14" t="s">
        <v>16</v>
      </c>
      <c r="D616" s="11">
        <v>166524.83</v>
      </c>
      <c r="F616" s="12"/>
      <c r="G616" s="12"/>
    </row>
    <row r="617" spans="1:3" ht="18">
      <c r="A617" s="4" t="s">
        <v>246</v>
      </c>
      <c r="B617" s="5" t="s">
        <v>182</v>
      </c>
      <c r="C617" s="10"/>
    </row>
    <row r="618" spans="1:3" ht="18">
      <c r="A618" s="4" t="s">
        <v>247</v>
      </c>
      <c r="B618" s="5" t="s">
        <v>159</v>
      </c>
      <c r="C618" s="10"/>
    </row>
    <row r="619" spans="2:3" ht="18">
      <c r="B619" s="8" t="s">
        <v>85</v>
      </c>
      <c r="C619" s="10">
        <f>1488+1792</f>
        <v>3280</v>
      </c>
    </row>
    <row r="620" spans="2:3" ht="18">
      <c r="B620" s="5" t="s">
        <v>466</v>
      </c>
      <c r="C620" s="10">
        <f>2209+2455+2461+3446+15554+7024+10536</f>
        <v>43685</v>
      </c>
    </row>
    <row r="621" spans="2:3" ht="18">
      <c r="B621" s="5" t="s">
        <v>124</v>
      </c>
      <c r="C621" s="10"/>
    </row>
    <row r="622" spans="2:3" ht="18">
      <c r="B622" s="5" t="s">
        <v>325</v>
      </c>
      <c r="C622" s="10">
        <f>1236</f>
        <v>1236</v>
      </c>
    </row>
    <row r="623" spans="2:3" ht="18">
      <c r="B623" s="5" t="s">
        <v>157</v>
      </c>
      <c r="C623" s="10">
        <f>5679</f>
        <v>5679</v>
      </c>
    </row>
    <row r="624" spans="2:3" ht="18">
      <c r="B624" s="5" t="s">
        <v>311</v>
      </c>
      <c r="C624" s="10"/>
    </row>
    <row r="625" spans="2:3" ht="18">
      <c r="B625" s="5" t="s">
        <v>305</v>
      </c>
      <c r="C625" s="10">
        <f>1566</f>
        <v>1566</v>
      </c>
    </row>
    <row r="626" spans="2:3" ht="18">
      <c r="B626" s="5" t="s">
        <v>394</v>
      </c>
      <c r="C626" s="10">
        <f>4890</f>
        <v>4890</v>
      </c>
    </row>
    <row r="627" spans="2:3" ht="18">
      <c r="B627" s="5" t="s">
        <v>389</v>
      </c>
      <c r="C627" s="10">
        <f>3451</f>
        <v>3451</v>
      </c>
    </row>
    <row r="628" spans="2:3" ht="18">
      <c r="B628" s="5" t="s">
        <v>390</v>
      </c>
      <c r="C628" s="10">
        <f>11705</f>
        <v>11705</v>
      </c>
    </row>
    <row r="629" spans="2:3" ht="18">
      <c r="B629" s="5" t="s">
        <v>101</v>
      </c>
      <c r="C629" s="10"/>
    </row>
    <row r="630" spans="2:3" ht="18">
      <c r="B630" s="8" t="s">
        <v>327</v>
      </c>
      <c r="C630" s="10">
        <v>3244</v>
      </c>
    </row>
    <row r="631" ht="18">
      <c r="B631" s="8"/>
    </row>
    <row r="632" spans="2:3" ht="18">
      <c r="B632" s="5" t="s">
        <v>71</v>
      </c>
      <c r="C632" s="10">
        <f>2204+2204+2348+378+1174+2348+1174</f>
        <v>11830</v>
      </c>
    </row>
    <row r="633" spans="2:3" ht="18">
      <c r="B633" s="5" t="s">
        <v>69</v>
      </c>
      <c r="C633" s="10">
        <f>3553+795</f>
        <v>4348</v>
      </c>
    </row>
    <row r="634" spans="2:3" ht="18">
      <c r="B634" s="5" t="s">
        <v>153</v>
      </c>
      <c r="C634" s="10">
        <f>2673+2685</f>
        <v>5358</v>
      </c>
    </row>
    <row r="635" spans="2:3" ht="18">
      <c r="B635" s="5" t="s">
        <v>77</v>
      </c>
      <c r="C635" s="10">
        <f>2756+4755+2766</f>
        <v>10277</v>
      </c>
    </row>
    <row r="636" spans="2:3" ht="18">
      <c r="B636" s="5" t="s">
        <v>74</v>
      </c>
      <c r="C636" s="10">
        <f>6021</f>
        <v>6021</v>
      </c>
    </row>
    <row r="637" spans="2:3" ht="18">
      <c r="B637" s="5" t="s">
        <v>98</v>
      </c>
      <c r="C637" s="10">
        <f>2865</f>
        <v>2865</v>
      </c>
    </row>
    <row r="638" spans="2:3" ht="18">
      <c r="B638" s="5" t="s">
        <v>12</v>
      </c>
      <c r="C638" s="10"/>
    </row>
    <row r="639" spans="2:3" ht="18">
      <c r="B639" s="5" t="s">
        <v>127</v>
      </c>
      <c r="C639" s="10">
        <f>15702</f>
        <v>15702</v>
      </c>
    </row>
    <row r="641" spans="2:3" ht="18">
      <c r="B641" s="5" t="s">
        <v>90</v>
      </c>
      <c r="C641" s="10">
        <f>2696+10833</f>
        <v>13529</v>
      </c>
    </row>
    <row r="642" spans="2:3" ht="18">
      <c r="B642" s="5" t="s">
        <v>91</v>
      </c>
      <c r="C642" s="10"/>
    </row>
    <row r="643" spans="2:3" ht="18">
      <c r="B643" s="5" t="s">
        <v>88</v>
      </c>
      <c r="C643" s="10">
        <f>33+122+67+22+89</f>
        <v>333</v>
      </c>
    </row>
    <row r="644" spans="2:3" ht="18">
      <c r="B644" s="5" t="s">
        <v>89</v>
      </c>
      <c r="C644" s="10">
        <f>3823+1274+5097</f>
        <v>10194</v>
      </c>
    </row>
    <row r="645" spans="2:3" ht="18">
      <c r="B645" s="5" t="s">
        <v>92</v>
      </c>
      <c r="C645" s="10">
        <f>691+561+729+643+788+413+505+1057+597</f>
        <v>5984</v>
      </c>
    </row>
    <row r="646" spans="2:3" ht="18">
      <c r="B646" s="5" t="s">
        <v>93</v>
      </c>
      <c r="C646" s="10">
        <f>1055+1061+2121+4242</f>
        <v>8479</v>
      </c>
    </row>
    <row r="647" spans="2:3" ht="18">
      <c r="B647" s="5" t="s">
        <v>94</v>
      </c>
      <c r="C647" s="10">
        <f>7464</f>
        <v>7464</v>
      </c>
    </row>
    <row r="648" spans="2:3" ht="18">
      <c r="B648" s="5" t="s">
        <v>100</v>
      </c>
      <c r="C648" s="10"/>
    </row>
    <row r="649" ht="18">
      <c r="C649" s="11">
        <f>SUM(C617:C648)</f>
        <v>181120</v>
      </c>
    </row>
    <row r="650" spans="1:7" ht="20.25">
      <c r="A650" s="4" t="s">
        <v>240</v>
      </c>
      <c r="B650" s="14" t="s">
        <v>28</v>
      </c>
      <c r="D650" s="11">
        <v>85422.04</v>
      </c>
      <c r="F650" s="12"/>
      <c r="G650" s="12"/>
    </row>
    <row r="651" spans="1:3" ht="18">
      <c r="A651" s="4" t="s">
        <v>248</v>
      </c>
      <c r="B651" s="8" t="s">
        <v>85</v>
      </c>
      <c r="C651" s="10"/>
    </row>
    <row r="652" spans="1:3" ht="18">
      <c r="A652" s="4" t="s">
        <v>249</v>
      </c>
      <c r="B652" s="8" t="s">
        <v>318</v>
      </c>
      <c r="C652" s="10">
        <f>2007</f>
        <v>2007</v>
      </c>
    </row>
    <row r="653" spans="2:3" ht="18">
      <c r="B653" s="8" t="s">
        <v>176</v>
      </c>
      <c r="C653" s="10"/>
    </row>
    <row r="654" spans="2:3" ht="18">
      <c r="B654" s="8" t="s">
        <v>177</v>
      </c>
      <c r="C654" s="10"/>
    </row>
    <row r="655" spans="2:3" ht="18">
      <c r="B655" s="8" t="s">
        <v>300</v>
      </c>
      <c r="C655" s="10"/>
    </row>
    <row r="656" spans="2:3" ht="18">
      <c r="B656" s="8" t="s">
        <v>163</v>
      </c>
      <c r="C656" s="10"/>
    </row>
    <row r="657" spans="2:3" ht="18">
      <c r="B657" s="8" t="s">
        <v>388</v>
      </c>
      <c r="C657" s="10">
        <v>23203</v>
      </c>
    </row>
    <row r="658" spans="2:3" ht="18">
      <c r="B658" s="8" t="s">
        <v>162</v>
      </c>
      <c r="C658" s="10"/>
    </row>
    <row r="659" spans="2:3" ht="18">
      <c r="B659" s="8" t="s">
        <v>327</v>
      </c>
      <c r="C659" s="10">
        <v>3244</v>
      </c>
    </row>
    <row r="660" ht="18">
      <c r="B660" s="8"/>
    </row>
    <row r="661" spans="2:3" ht="18">
      <c r="B661" s="5" t="s">
        <v>71</v>
      </c>
      <c r="C661" s="10">
        <f>1102+1174+2935+1174</f>
        <v>6385</v>
      </c>
    </row>
    <row r="662" spans="2:3" ht="18">
      <c r="B662" s="5" t="s">
        <v>69</v>
      </c>
      <c r="C662" s="10"/>
    </row>
    <row r="663" spans="2:3" ht="18">
      <c r="B663" s="5" t="s">
        <v>74</v>
      </c>
      <c r="C663" s="10">
        <f>10211+7806</f>
        <v>18017</v>
      </c>
    </row>
    <row r="664" spans="2:3" ht="18">
      <c r="B664" s="5" t="s">
        <v>12</v>
      </c>
      <c r="C664" s="10"/>
    </row>
    <row r="665" spans="2:3" ht="18">
      <c r="B665" s="5" t="s">
        <v>77</v>
      </c>
      <c r="C665" s="10">
        <f>2067+12610+3707</f>
        <v>18384</v>
      </c>
    </row>
    <row r="666" spans="2:3" ht="18">
      <c r="B666" s="5" t="s">
        <v>127</v>
      </c>
      <c r="C666" s="10">
        <f>9520</f>
        <v>9520</v>
      </c>
    </row>
    <row r="668" spans="2:3" ht="18">
      <c r="B668" s="5" t="s">
        <v>90</v>
      </c>
      <c r="C668" s="10"/>
    </row>
    <row r="669" spans="2:3" ht="18">
      <c r="B669" s="5" t="s">
        <v>91</v>
      </c>
      <c r="C669" s="10"/>
    </row>
    <row r="670" spans="2:3" ht="18">
      <c r="B670" s="5" t="s">
        <v>88</v>
      </c>
      <c r="C670" s="10">
        <f>22+22</f>
        <v>44</v>
      </c>
    </row>
    <row r="671" spans="2:3" ht="18">
      <c r="B671" s="5" t="s">
        <v>89</v>
      </c>
      <c r="C671" s="10">
        <f>1266+1274</f>
        <v>2540</v>
      </c>
    </row>
    <row r="672" spans="2:3" ht="18">
      <c r="B672" s="5" t="s">
        <v>92</v>
      </c>
      <c r="C672" s="10">
        <f>944+505</f>
        <v>1449</v>
      </c>
    </row>
    <row r="673" spans="2:3" ht="18">
      <c r="B673" s="5" t="s">
        <v>93</v>
      </c>
      <c r="C673" s="10">
        <f>1061</f>
        <v>1061</v>
      </c>
    </row>
    <row r="674" spans="2:3" ht="18">
      <c r="B674" s="5" t="s">
        <v>94</v>
      </c>
      <c r="C674" s="10"/>
    </row>
    <row r="675" ht="18">
      <c r="C675" s="11">
        <f>SUM(C651:C673)</f>
        <v>85854</v>
      </c>
    </row>
    <row r="676" spans="1:7" ht="20.25">
      <c r="A676" s="4" t="s">
        <v>240</v>
      </c>
      <c r="B676" s="14" t="s">
        <v>43</v>
      </c>
      <c r="D676" s="11">
        <v>161840.89</v>
      </c>
      <c r="F676" s="12"/>
      <c r="G676" s="12"/>
    </row>
    <row r="677" spans="1:3" ht="18">
      <c r="A677" s="4" t="s">
        <v>250</v>
      </c>
      <c r="B677" s="5" t="s">
        <v>172</v>
      </c>
      <c r="C677" s="10"/>
    </row>
    <row r="678" spans="1:3" ht="18">
      <c r="A678" s="4" t="s">
        <v>251</v>
      </c>
      <c r="B678" s="8" t="s">
        <v>170</v>
      </c>
      <c r="C678" s="10"/>
    </row>
    <row r="679" spans="2:3" ht="18">
      <c r="B679" s="8" t="s">
        <v>183</v>
      </c>
      <c r="C679" s="10"/>
    </row>
    <row r="680" spans="2:3" ht="18">
      <c r="B680" s="5" t="s">
        <v>115</v>
      </c>
      <c r="C680" s="10">
        <f>1100</f>
        <v>1100</v>
      </c>
    </row>
    <row r="681" spans="2:3" ht="18">
      <c r="B681" s="5" t="s">
        <v>85</v>
      </c>
      <c r="C681" s="10">
        <f>1551+1194+597</f>
        <v>3342</v>
      </c>
    </row>
    <row r="682" spans="2:3" ht="18">
      <c r="B682" s="5" t="s">
        <v>106</v>
      </c>
      <c r="C682" s="10"/>
    </row>
    <row r="683" spans="2:3" ht="18">
      <c r="B683" s="5" t="s">
        <v>159</v>
      </c>
      <c r="C683" s="10"/>
    </row>
    <row r="684" spans="2:3" ht="18">
      <c r="B684" s="5" t="s">
        <v>457</v>
      </c>
      <c r="C684" s="10">
        <f>2127+3550</f>
        <v>5677</v>
      </c>
    </row>
    <row r="685" spans="2:3" ht="18">
      <c r="B685" s="5" t="s">
        <v>305</v>
      </c>
      <c r="C685" s="10">
        <f>7829</f>
        <v>7829</v>
      </c>
    </row>
    <row r="686" spans="2:3" ht="18">
      <c r="B686" s="5" t="s">
        <v>402</v>
      </c>
      <c r="C686" s="10">
        <f>48088</f>
        <v>48088</v>
      </c>
    </row>
    <row r="687" spans="2:3" ht="18">
      <c r="B687" s="8" t="s">
        <v>147</v>
      </c>
      <c r="C687" s="10"/>
    </row>
    <row r="688" ht="20.25">
      <c r="B688" s="14"/>
    </row>
    <row r="689" spans="2:3" ht="18">
      <c r="B689" s="5" t="s">
        <v>71</v>
      </c>
      <c r="C689" s="10">
        <f>1628+1174</f>
        <v>2802</v>
      </c>
    </row>
    <row r="690" spans="2:3" ht="18">
      <c r="B690" s="5" t="s">
        <v>69</v>
      </c>
      <c r="C690" s="10">
        <f>11604+11249</f>
        <v>22853</v>
      </c>
    </row>
    <row r="691" spans="2:3" ht="18">
      <c r="B691" s="5" t="s">
        <v>74</v>
      </c>
      <c r="C691" s="10">
        <f>4014</f>
        <v>4014</v>
      </c>
    </row>
    <row r="692" spans="2:3" ht="18">
      <c r="B692" s="5" t="s">
        <v>12</v>
      </c>
      <c r="C692" s="10">
        <f>2560+8703</f>
        <v>11263</v>
      </c>
    </row>
    <row r="693" spans="2:3" ht="18">
      <c r="B693" s="5" t="s">
        <v>77</v>
      </c>
      <c r="C693" s="10"/>
    </row>
    <row r="694" spans="2:3" ht="18">
      <c r="B694" s="5" t="s">
        <v>75</v>
      </c>
      <c r="C694" s="10"/>
    </row>
    <row r="695" spans="2:3" ht="18">
      <c r="B695" s="5" t="s">
        <v>127</v>
      </c>
      <c r="C695" s="10">
        <f>8497</f>
        <v>8497</v>
      </c>
    </row>
    <row r="697" spans="2:3" ht="18">
      <c r="B697" s="5" t="s">
        <v>90</v>
      </c>
      <c r="C697" s="10">
        <f>2952+5883+2713+2713+2969</f>
        <v>17230</v>
      </c>
    </row>
    <row r="698" spans="2:3" ht="18">
      <c r="B698" s="5" t="s">
        <v>91</v>
      </c>
      <c r="C698" s="10">
        <f>5017</f>
        <v>5017</v>
      </c>
    </row>
    <row r="699" spans="2:3" ht="18">
      <c r="B699" s="5" t="s">
        <v>88</v>
      </c>
      <c r="C699" s="10">
        <f>55+55+22+33+56</f>
        <v>221</v>
      </c>
    </row>
    <row r="700" spans="2:3" ht="18">
      <c r="B700" s="5" t="s">
        <v>89</v>
      </c>
      <c r="C700" s="10">
        <f>1266+1274+1274</f>
        <v>3814</v>
      </c>
    </row>
    <row r="701" spans="2:3" ht="18">
      <c r="B701" s="5" t="s">
        <v>92</v>
      </c>
      <c r="C701" s="10">
        <f>601</f>
        <v>601</v>
      </c>
    </row>
    <row r="702" spans="2:3" ht="18">
      <c r="B702" s="5" t="s">
        <v>93</v>
      </c>
      <c r="C702" s="10">
        <f>1061</f>
        <v>1061</v>
      </c>
    </row>
    <row r="703" spans="2:3" ht="18">
      <c r="B703" s="5" t="s">
        <v>100</v>
      </c>
      <c r="C703" s="10"/>
    </row>
    <row r="704" spans="2:3" ht="18">
      <c r="B704" s="5" t="s">
        <v>94</v>
      </c>
      <c r="C704" s="10"/>
    </row>
    <row r="705" ht="18">
      <c r="C705" s="11">
        <f>SUM(C677:C702)</f>
        <v>143409</v>
      </c>
    </row>
    <row r="706" spans="1:7" ht="20.25">
      <c r="A706" s="4" t="s">
        <v>252</v>
      </c>
      <c r="B706" s="14" t="s">
        <v>320</v>
      </c>
      <c r="D706" s="11">
        <v>319966.54</v>
      </c>
      <c r="F706" s="12"/>
      <c r="G706" s="12"/>
    </row>
    <row r="707" spans="1:3" ht="18">
      <c r="A707" s="4" t="s">
        <v>253</v>
      </c>
      <c r="B707" s="8" t="s">
        <v>83</v>
      </c>
      <c r="C707" s="10">
        <f>982</f>
        <v>982</v>
      </c>
    </row>
    <row r="708" spans="1:3" ht="18">
      <c r="A708" s="4" t="s">
        <v>254</v>
      </c>
      <c r="B708" s="8" t="s">
        <v>380</v>
      </c>
      <c r="C708" s="10"/>
    </row>
    <row r="709" spans="2:3" ht="18">
      <c r="B709" s="8" t="s">
        <v>159</v>
      </c>
      <c r="C709" s="10"/>
    </row>
    <row r="710" spans="2:3" ht="18">
      <c r="B710" s="8" t="s">
        <v>467</v>
      </c>
      <c r="C710" s="10">
        <f>7105+26557+2127+2366</f>
        <v>38155</v>
      </c>
    </row>
    <row r="711" spans="2:3" ht="18">
      <c r="B711" s="5" t="s">
        <v>85</v>
      </c>
      <c r="C711" s="10">
        <f>5341+597</f>
        <v>5938</v>
      </c>
    </row>
    <row r="712" spans="2:3" ht="18">
      <c r="B712" s="5" t="s">
        <v>393</v>
      </c>
      <c r="C712" s="10">
        <f>11970</f>
        <v>11970</v>
      </c>
    </row>
    <row r="713" spans="2:3" ht="18">
      <c r="B713" s="5" t="s">
        <v>442</v>
      </c>
      <c r="C713" s="10">
        <f>2132</f>
        <v>2132</v>
      </c>
    </row>
    <row r="714" spans="2:3" ht="18">
      <c r="B714" s="5" t="s">
        <v>308</v>
      </c>
      <c r="C714" s="10">
        <f>2839</f>
        <v>2839</v>
      </c>
    </row>
    <row r="715" spans="2:3" ht="18">
      <c r="B715" s="5" t="s">
        <v>428</v>
      </c>
      <c r="C715" s="10">
        <f>8112</f>
        <v>8112</v>
      </c>
    </row>
    <row r="716" spans="2:3" ht="18">
      <c r="B716" s="5" t="s">
        <v>381</v>
      </c>
      <c r="C716" s="10">
        <f>17227</f>
        <v>17227</v>
      </c>
    </row>
    <row r="717" spans="2:3" ht="18">
      <c r="B717" s="8" t="s">
        <v>66</v>
      </c>
      <c r="C717" s="10"/>
    </row>
    <row r="718" ht="18">
      <c r="B718" s="8"/>
    </row>
    <row r="719" spans="2:3" ht="18">
      <c r="B719" s="5" t="s">
        <v>71</v>
      </c>
      <c r="C719" s="10">
        <f>2348+1574+1174+1761+587</f>
        <v>7444</v>
      </c>
    </row>
    <row r="720" spans="2:3" ht="18">
      <c r="B720" s="5" t="s">
        <v>69</v>
      </c>
      <c r="C720" s="10">
        <f>788+394</f>
        <v>1182</v>
      </c>
    </row>
    <row r="721" spans="2:3" ht="18">
      <c r="B721" s="5" t="s">
        <v>349</v>
      </c>
      <c r="C721" s="10">
        <f>2673+189</f>
        <v>2862</v>
      </c>
    </row>
    <row r="722" spans="2:3" ht="18">
      <c r="B722" s="5" t="s">
        <v>72</v>
      </c>
      <c r="C722" s="10">
        <f>620</f>
        <v>620</v>
      </c>
    </row>
    <row r="723" spans="2:3" ht="18">
      <c r="B723" s="5" t="s">
        <v>98</v>
      </c>
      <c r="C723" s="10"/>
    </row>
    <row r="724" spans="2:3" ht="18">
      <c r="B724" s="5" t="s">
        <v>12</v>
      </c>
      <c r="C724" s="10">
        <f>4121</f>
        <v>4121</v>
      </c>
    </row>
    <row r="725" spans="2:3" ht="18">
      <c r="B725" s="5" t="s">
        <v>74</v>
      </c>
      <c r="C725" s="10">
        <f>3905+4945+5622+2244+18103+2038+4456</f>
        <v>41313</v>
      </c>
    </row>
    <row r="726" spans="2:3" ht="18">
      <c r="B726" s="5" t="s">
        <v>127</v>
      </c>
      <c r="C726" s="10">
        <f>20477</f>
        <v>20477</v>
      </c>
    </row>
    <row r="728" spans="2:3" ht="18">
      <c r="B728" s="5" t="s">
        <v>90</v>
      </c>
      <c r="C728" s="10">
        <f>2824+2586+2713+5427</f>
        <v>13550</v>
      </c>
    </row>
    <row r="729" spans="2:3" ht="18">
      <c r="B729" s="5" t="s">
        <v>91</v>
      </c>
      <c r="C729" s="10"/>
    </row>
    <row r="730" spans="2:3" ht="18">
      <c r="B730" s="5" t="s">
        <v>88</v>
      </c>
      <c r="C730" s="10">
        <f>77+44+45+33+33+67</f>
        <v>299</v>
      </c>
    </row>
    <row r="731" spans="2:3" ht="18">
      <c r="B731" s="5" t="s">
        <v>89</v>
      </c>
      <c r="C731" s="10">
        <f>2531+2531+2549</f>
        <v>7611</v>
      </c>
    </row>
    <row r="732" spans="2:3" ht="18">
      <c r="B732" s="5" t="s">
        <v>92</v>
      </c>
      <c r="C732" s="10">
        <f>173+1381+431+848+601</f>
        <v>3434</v>
      </c>
    </row>
    <row r="733" spans="2:3" ht="18">
      <c r="B733" s="5" t="s">
        <v>93</v>
      </c>
      <c r="C733" s="10">
        <f>2110</f>
        <v>2110</v>
      </c>
    </row>
    <row r="734" spans="2:3" ht="18">
      <c r="B734" s="5" t="s">
        <v>100</v>
      </c>
      <c r="C734" s="10">
        <f>1481+995</f>
        <v>2476</v>
      </c>
    </row>
    <row r="735" spans="2:3" ht="18">
      <c r="B735" s="5" t="s">
        <v>94</v>
      </c>
      <c r="C735" s="10"/>
    </row>
    <row r="736" spans="3:7" ht="18">
      <c r="C736" s="11">
        <f>SUM(C707:C735)</f>
        <v>194854</v>
      </c>
      <c r="F736" s="12"/>
      <c r="G736" s="12"/>
    </row>
    <row r="737" spans="1:7" ht="20.25">
      <c r="A737" s="4" t="s">
        <v>240</v>
      </c>
      <c r="B737" s="14" t="s">
        <v>5</v>
      </c>
      <c r="D737" s="11">
        <v>374994.27</v>
      </c>
      <c r="F737" s="12"/>
      <c r="G737" s="12"/>
    </row>
    <row r="738" spans="1:3" ht="18">
      <c r="A738" s="4" t="s">
        <v>255</v>
      </c>
      <c r="B738" s="5" t="s">
        <v>172</v>
      </c>
      <c r="C738" s="10"/>
    </row>
    <row r="739" spans="1:3" ht="18">
      <c r="A739" s="4" t="s">
        <v>256</v>
      </c>
      <c r="B739" s="5" t="s">
        <v>362</v>
      </c>
      <c r="C739" s="10"/>
    </row>
    <row r="740" spans="2:3" ht="18">
      <c r="B740" s="5" t="s">
        <v>178</v>
      </c>
      <c r="C740" s="10"/>
    </row>
    <row r="741" spans="2:3" ht="18">
      <c r="B741" s="5" t="s">
        <v>426</v>
      </c>
      <c r="C741" s="10">
        <f>1493</f>
        <v>1493</v>
      </c>
    </row>
    <row r="742" spans="2:3" ht="18">
      <c r="B742" s="5" t="s">
        <v>339</v>
      </c>
      <c r="C742" s="10">
        <f>4533</f>
        <v>4533</v>
      </c>
    </row>
    <row r="743" spans="2:3" ht="18">
      <c r="B743" s="5" t="s">
        <v>115</v>
      </c>
      <c r="C743" s="10">
        <f>1100</f>
        <v>1100</v>
      </c>
    </row>
    <row r="744" spans="2:3" ht="18">
      <c r="B744" s="5" t="s">
        <v>462</v>
      </c>
      <c r="C744" s="10">
        <f>4733</f>
        <v>4733</v>
      </c>
    </row>
    <row r="745" spans="2:3" ht="18">
      <c r="B745" s="5" t="s">
        <v>85</v>
      </c>
      <c r="C745" s="10">
        <f>1555+2090</f>
        <v>3645</v>
      </c>
    </row>
    <row r="746" spans="2:3" ht="18">
      <c r="B746" s="8" t="s">
        <v>444</v>
      </c>
      <c r="C746" s="10">
        <f>2663</f>
        <v>2663</v>
      </c>
    </row>
    <row r="747" spans="2:3" ht="18">
      <c r="B747" s="5" t="s">
        <v>145</v>
      </c>
      <c r="C747" s="10">
        <f>6247</f>
        <v>6247</v>
      </c>
    </row>
    <row r="749" spans="2:3" ht="18">
      <c r="B749" s="5" t="s">
        <v>71</v>
      </c>
      <c r="C749" s="10">
        <f>1102+1102+3522+2348+3522+9219+3241+2935+1174</f>
        <v>28165</v>
      </c>
    </row>
    <row r="750" spans="2:3" ht="18">
      <c r="B750" s="5" t="s">
        <v>69</v>
      </c>
      <c r="C750" s="10">
        <f>1182+788+4891</f>
        <v>6861</v>
      </c>
    </row>
    <row r="751" spans="2:3" ht="18">
      <c r="B751" s="5" t="s">
        <v>97</v>
      </c>
      <c r="C751" s="10">
        <f>2554+2459+3393</f>
        <v>8406</v>
      </c>
    </row>
    <row r="752" spans="2:3" ht="18">
      <c r="B752" s="5" t="s">
        <v>351</v>
      </c>
      <c r="C752" s="10">
        <f>603</f>
        <v>603</v>
      </c>
    </row>
    <row r="753" spans="2:3" ht="18">
      <c r="B753" s="5" t="s">
        <v>12</v>
      </c>
      <c r="C753" s="10">
        <f>3072</f>
        <v>3072</v>
      </c>
    </row>
    <row r="754" spans="2:3" ht="18">
      <c r="B754" s="5" t="s">
        <v>74</v>
      </c>
      <c r="C754" s="10">
        <f>6557+3002+3037+1528+2987+1019+2410</f>
        <v>20540</v>
      </c>
    </row>
    <row r="755" spans="2:3" ht="18">
      <c r="B755" s="5" t="s">
        <v>72</v>
      </c>
      <c r="C755" s="10">
        <f>1207+3363+3660+7232</f>
        <v>15462</v>
      </c>
    </row>
    <row r="756" spans="2:3" ht="18">
      <c r="B756" s="5" t="s">
        <v>77</v>
      </c>
      <c r="C756" s="10">
        <f>3766+4520</f>
        <v>8286</v>
      </c>
    </row>
    <row r="757" spans="2:3" ht="18">
      <c r="B757" s="5" t="s">
        <v>154</v>
      </c>
      <c r="C757" s="10"/>
    </row>
    <row r="758" spans="2:3" ht="18">
      <c r="B758" s="5" t="s">
        <v>127</v>
      </c>
      <c r="C758" s="10">
        <f>18411</f>
        <v>18411</v>
      </c>
    </row>
    <row r="760" spans="2:3" ht="18">
      <c r="B760" s="5" t="s">
        <v>90</v>
      </c>
      <c r="C760" s="10">
        <f>5393+3225+5427+8140+8268+5682+2969+2713</f>
        <v>41817</v>
      </c>
    </row>
    <row r="761" spans="2:3" ht="18">
      <c r="B761" s="5" t="s">
        <v>91</v>
      </c>
      <c r="C761" s="10">
        <f>2760+3017</f>
        <v>5777</v>
      </c>
    </row>
    <row r="762" spans="2:3" ht="18">
      <c r="B762" s="5" t="s">
        <v>88</v>
      </c>
      <c r="C762" s="10">
        <f>66+78+67+100+100+344+67+56+33</f>
        <v>911</v>
      </c>
    </row>
    <row r="763" spans="2:3" ht="18">
      <c r="B763" s="5" t="s">
        <v>140</v>
      </c>
      <c r="C763" s="10">
        <f>2549+2549+1274</f>
        <v>6372</v>
      </c>
    </row>
    <row r="764" spans="2:3" ht="18">
      <c r="B764" s="5" t="s">
        <v>92</v>
      </c>
      <c r="C764" s="10">
        <f>216+371+367+184+184+597</f>
        <v>1919</v>
      </c>
    </row>
    <row r="765" spans="2:5" ht="18">
      <c r="B765" s="5" t="s">
        <v>93</v>
      </c>
      <c r="C765" s="10">
        <f>528</f>
        <v>528</v>
      </c>
      <c r="E765" s="13"/>
    </row>
    <row r="766" spans="2:3" ht="18">
      <c r="B766" s="5" t="s">
        <v>94</v>
      </c>
      <c r="C766" s="10"/>
    </row>
    <row r="767" spans="2:3" ht="18">
      <c r="B767" s="5" t="s">
        <v>100</v>
      </c>
      <c r="C767" s="10"/>
    </row>
    <row r="768" ht="18">
      <c r="C768" s="11">
        <f>SUM(C738:C767)</f>
        <v>191544</v>
      </c>
    </row>
    <row r="769" spans="1:7" ht="20.25">
      <c r="A769" s="4" t="s">
        <v>240</v>
      </c>
      <c r="B769" s="14" t="s">
        <v>44</v>
      </c>
      <c r="D769" s="11">
        <v>164063.2</v>
      </c>
      <c r="F769" s="12"/>
      <c r="G769" s="12"/>
    </row>
    <row r="770" spans="1:3" ht="18">
      <c r="A770" s="4" t="s">
        <v>257</v>
      </c>
      <c r="B770" s="5" t="s">
        <v>173</v>
      </c>
      <c r="C770" s="10"/>
    </row>
    <row r="771" spans="1:3" ht="18">
      <c r="A771" s="4" t="s">
        <v>258</v>
      </c>
      <c r="B771" s="5" t="s">
        <v>145</v>
      </c>
      <c r="C771" s="10">
        <f>3691</f>
        <v>3691</v>
      </c>
    </row>
    <row r="772" spans="2:3" ht="18">
      <c r="B772" s="5" t="s">
        <v>159</v>
      </c>
      <c r="C772" s="10"/>
    </row>
    <row r="773" spans="2:3" ht="18">
      <c r="B773" s="5" t="s">
        <v>146</v>
      </c>
      <c r="C773" s="10">
        <f>1181+1477</f>
        <v>2658</v>
      </c>
    </row>
    <row r="774" spans="2:3" ht="18">
      <c r="B774" s="5" t="s">
        <v>115</v>
      </c>
      <c r="C774" s="10">
        <f>1100+2623+2201+2790</f>
        <v>8714</v>
      </c>
    </row>
    <row r="775" spans="2:3" ht="18">
      <c r="B775" s="5" t="s">
        <v>384</v>
      </c>
      <c r="C775" s="10">
        <f>10718</f>
        <v>10718</v>
      </c>
    </row>
    <row r="776" spans="2:3" ht="18">
      <c r="B776" s="5" t="s">
        <v>447</v>
      </c>
      <c r="C776" s="10">
        <f>3191</f>
        <v>3191</v>
      </c>
    </row>
    <row r="777" spans="2:3" ht="18">
      <c r="B777" s="5" t="s">
        <v>85</v>
      </c>
      <c r="C777" s="10">
        <f>1552+485+1194</f>
        <v>3231</v>
      </c>
    </row>
    <row r="779" spans="2:3" ht="18">
      <c r="B779" s="5" t="s">
        <v>71</v>
      </c>
      <c r="C779" s="10">
        <f>1102+2204+1761+376+3142</f>
        <v>8585</v>
      </c>
    </row>
    <row r="780" spans="2:3" ht="18">
      <c r="B780" s="5" t="s">
        <v>69</v>
      </c>
      <c r="C780" s="10">
        <f>9743+4891</f>
        <v>14634</v>
      </c>
    </row>
    <row r="781" spans="2:3" ht="18">
      <c r="B781" s="5" t="s">
        <v>74</v>
      </c>
      <c r="C781" s="10">
        <f>1998</f>
        <v>1998</v>
      </c>
    </row>
    <row r="782" spans="2:3" ht="18">
      <c r="B782" s="5" t="s">
        <v>77</v>
      </c>
      <c r="C782" s="10">
        <f>7525+4446+3526+3704</f>
        <v>19201</v>
      </c>
    </row>
    <row r="783" spans="2:3" ht="18">
      <c r="B783" s="5" t="s">
        <v>157</v>
      </c>
      <c r="C783" s="10">
        <f>3691</f>
        <v>3691</v>
      </c>
    </row>
    <row r="784" spans="2:3" ht="18">
      <c r="B784" s="5" t="s">
        <v>98</v>
      </c>
      <c r="C784" s="10">
        <f>2438</f>
        <v>2438</v>
      </c>
    </row>
    <row r="785" spans="2:3" ht="18">
      <c r="B785" s="5" t="s">
        <v>127</v>
      </c>
      <c r="C785" s="10">
        <f>8288</f>
        <v>8288</v>
      </c>
    </row>
    <row r="787" spans="2:3" ht="18">
      <c r="B787" s="5" t="s">
        <v>90</v>
      </c>
      <c r="C787" s="10">
        <f>5393+3080+2841+5427+5427</f>
        <v>22168</v>
      </c>
    </row>
    <row r="788" spans="2:3" ht="18">
      <c r="B788" s="5" t="s">
        <v>91</v>
      </c>
      <c r="C788" s="10">
        <f>5017</f>
        <v>5017</v>
      </c>
    </row>
    <row r="789" spans="2:3" ht="18">
      <c r="B789" s="5" t="s">
        <v>88</v>
      </c>
      <c r="C789" s="10">
        <f>66+33+33+67+67</f>
        <v>266</v>
      </c>
    </row>
    <row r="790" spans="2:3" ht="18">
      <c r="B790" s="5" t="s">
        <v>89</v>
      </c>
      <c r="C790" s="10"/>
    </row>
    <row r="791" spans="2:3" ht="18">
      <c r="B791" s="5" t="s">
        <v>92</v>
      </c>
      <c r="C791" s="10">
        <f>173+226+173+693+601+371</f>
        <v>2237</v>
      </c>
    </row>
    <row r="792" spans="2:3" ht="18">
      <c r="B792" s="5" t="s">
        <v>93</v>
      </c>
      <c r="C792" s="10"/>
    </row>
    <row r="793" spans="2:3" ht="18">
      <c r="B793" s="5" t="s">
        <v>94</v>
      </c>
      <c r="C793" s="10"/>
    </row>
    <row r="794" ht="18">
      <c r="C794" s="11">
        <f>SUM(C770:C791)</f>
        <v>120726</v>
      </c>
    </row>
    <row r="795" spans="1:7" ht="20.25">
      <c r="A795" s="4" t="s">
        <v>197</v>
      </c>
      <c r="B795" s="14" t="s">
        <v>29</v>
      </c>
      <c r="D795" s="11">
        <v>53705.74</v>
      </c>
      <c r="F795" s="12"/>
      <c r="G795" s="12"/>
    </row>
    <row r="796" spans="1:3" ht="18">
      <c r="A796" s="4" t="s">
        <v>259</v>
      </c>
      <c r="B796" s="5" t="s">
        <v>85</v>
      </c>
      <c r="C796" s="10">
        <f>141</f>
        <v>141</v>
      </c>
    </row>
    <row r="797" spans="1:3" ht="18">
      <c r="A797" s="4" t="s">
        <v>260</v>
      </c>
      <c r="B797" s="5" t="s">
        <v>178</v>
      </c>
      <c r="C797" s="10"/>
    </row>
    <row r="798" spans="2:3" ht="18">
      <c r="B798" s="5" t="s">
        <v>300</v>
      </c>
      <c r="C798" s="10"/>
    </row>
    <row r="799" spans="2:3" ht="18">
      <c r="B799" s="5" t="s">
        <v>312</v>
      </c>
      <c r="C799" s="10">
        <f>1204+2509</f>
        <v>3713</v>
      </c>
    </row>
    <row r="800" spans="2:3" ht="18">
      <c r="B800" s="5" t="s">
        <v>373</v>
      </c>
      <c r="C800" s="10">
        <f>2013</f>
        <v>2013</v>
      </c>
    </row>
    <row r="801" spans="2:3" ht="18">
      <c r="B801" s="5" t="s">
        <v>430</v>
      </c>
      <c r="C801" s="10">
        <f>7945</f>
        <v>7945</v>
      </c>
    </row>
    <row r="802" spans="2:3" ht="18">
      <c r="B802" s="5" t="s">
        <v>461</v>
      </c>
      <c r="C802" s="10">
        <f>3550</f>
        <v>3550</v>
      </c>
    </row>
    <row r="803" spans="2:3" ht="18">
      <c r="B803" s="5" t="s">
        <v>443</v>
      </c>
      <c r="C803" s="10">
        <f>3273</f>
        <v>3273</v>
      </c>
    </row>
    <row r="804" spans="2:3" ht="18">
      <c r="B804" s="8" t="s">
        <v>327</v>
      </c>
      <c r="C804" s="10">
        <v>3244</v>
      </c>
    </row>
    <row r="805" ht="18">
      <c r="B805" s="8"/>
    </row>
    <row r="806" spans="2:3" ht="18">
      <c r="B806" s="5" t="s">
        <v>71</v>
      </c>
      <c r="C806" s="10">
        <f>1102+2802+1174</f>
        <v>5078</v>
      </c>
    </row>
    <row r="807" spans="2:3" ht="18">
      <c r="B807" s="5" t="s">
        <v>69</v>
      </c>
      <c r="C807" s="10"/>
    </row>
    <row r="808" spans="2:3" ht="18">
      <c r="B808" s="5" t="s">
        <v>74</v>
      </c>
      <c r="C808" s="10"/>
    </row>
    <row r="809" spans="2:3" ht="18">
      <c r="B809" s="5" t="s">
        <v>76</v>
      </c>
      <c r="C809" s="10">
        <f>7503</f>
        <v>7503</v>
      </c>
    </row>
    <row r="810" spans="2:3" ht="18">
      <c r="B810" s="5" t="s">
        <v>400</v>
      </c>
      <c r="C810" s="10">
        <f>4027</f>
        <v>4027</v>
      </c>
    </row>
    <row r="811" spans="2:3" ht="18">
      <c r="B811" s="5" t="s">
        <v>98</v>
      </c>
      <c r="C811" s="10"/>
    </row>
    <row r="812" spans="2:3" ht="18">
      <c r="B812" s="5" t="s">
        <v>127</v>
      </c>
      <c r="C812" s="10">
        <f>10640</f>
        <v>10640</v>
      </c>
    </row>
    <row r="814" spans="2:3" ht="18">
      <c r="B814" s="5" t="s">
        <v>90</v>
      </c>
      <c r="C814" s="10"/>
    </row>
    <row r="815" spans="2:3" ht="18">
      <c r="B815" s="5" t="s">
        <v>91</v>
      </c>
      <c r="C815" s="10"/>
    </row>
    <row r="816" spans="2:3" ht="18">
      <c r="B816" s="5" t="s">
        <v>88</v>
      </c>
      <c r="C816" s="10"/>
    </row>
    <row r="817" spans="2:3" ht="18">
      <c r="B817" s="5" t="s">
        <v>89</v>
      </c>
      <c r="C817" s="10"/>
    </row>
    <row r="818" spans="2:3" ht="18">
      <c r="B818" s="5" t="s">
        <v>92</v>
      </c>
      <c r="C818" s="10">
        <f>322</f>
        <v>322</v>
      </c>
    </row>
    <row r="819" spans="2:3" ht="18">
      <c r="B819" s="5" t="s">
        <v>93</v>
      </c>
      <c r="C819" s="10"/>
    </row>
    <row r="820" spans="2:3" ht="18">
      <c r="B820" s="5" t="s">
        <v>94</v>
      </c>
      <c r="C820" s="10"/>
    </row>
    <row r="821" ht="18">
      <c r="C821" s="11">
        <f>SUM(C799:C816)</f>
        <v>50986</v>
      </c>
    </row>
    <row r="822" spans="1:7" ht="20.25">
      <c r="A822" s="4" t="s">
        <v>222</v>
      </c>
      <c r="B822" s="14" t="s">
        <v>1</v>
      </c>
      <c r="D822" s="11">
        <v>245633.24</v>
      </c>
      <c r="F822" s="12"/>
      <c r="G822" s="12"/>
    </row>
    <row r="823" spans="1:3" ht="18">
      <c r="A823" s="4" t="s">
        <v>261</v>
      </c>
      <c r="B823" s="5" t="s">
        <v>465</v>
      </c>
      <c r="C823" s="10">
        <f>1386+5916</f>
        <v>7302</v>
      </c>
    </row>
    <row r="824" spans="1:3" ht="18">
      <c r="A824" s="4" t="s">
        <v>262</v>
      </c>
      <c r="B824" s="5" t="s">
        <v>172</v>
      </c>
      <c r="C824" s="10"/>
    </row>
    <row r="825" spans="2:3" ht="18">
      <c r="B825" s="5" t="s">
        <v>178</v>
      </c>
      <c r="C825" s="10"/>
    </row>
    <row r="826" spans="2:3" ht="18">
      <c r="B826" s="5" t="s">
        <v>83</v>
      </c>
      <c r="C826" s="10">
        <f>982</f>
        <v>982</v>
      </c>
    </row>
    <row r="827" spans="2:3" ht="18">
      <c r="B827" s="5" t="s">
        <v>85</v>
      </c>
      <c r="C827" s="10">
        <f>896</f>
        <v>896</v>
      </c>
    </row>
    <row r="828" spans="2:3" ht="18">
      <c r="B828" s="5" t="s">
        <v>145</v>
      </c>
      <c r="C828" s="10">
        <f>4827</f>
        <v>4827</v>
      </c>
    </row>
    <row r="829" spans="2:3" ht="18">
      <c r="B829" s="5" t="s">
        <v>421</v>
      </c>
      <c r="C829" s="10">
        <f>17667</f>
        <v>17667</v>
      </c>
    </row>
    <row r="830" spans="2:3" ht="18">
      <c r="B830" s="5" t="s">
        <v>124</v>
      </c>
      <c r="C830" s="10"/>
    </row>
    <row r="831" spans="2:3" ht="18">
      <c r="B831" s="5" t="s">
        <v>136</v>
      </c>
      <c r="C831" s="10">
        <f>9170</f>
        <v>9170</v>
      </c>
    </row>
    <row r="832" spans="2:3" ht="18">
      <c r="B832" s="5" t="s">
        <v>113</v>
      </c>
      <c r="C832" s="10"/>
    </row>
    <row r="833" spans="2:3" ht="18">
      <c r="B833" s="5" t="s">
        <v>159</v>
      </c>
      <c r="C833" s="10"/>
    </row>
    <row r="835" spans="2:3" ht="18">
      <c r="B835" s="5" t="s">
        <v>71</v>
      </c>
      <c r="C835" s="10">
        <f>1920+551+1174+3148+3142+4316</f>
        <v>14251</v>
      </c>
    </row>
    <row r="836" spans="2:3" ht="18">
      <c r="B836" s="5" t="s">
        <v>69</v>
      </c>
      <c r="C836" s="10">
        <f>7678+795+9782+24759+2605</f>
        <v>45619</v>
      </c>
    </row>
    <row r="837" spans="2:3" ht="18">
      <c r="B837" s="5" t="s">
        <v>98</v>
      </c>
      <c r="C837" s="10"/>
    </row>
    <row r="838" spans="2:3" ht="18">
      <c r="B838" s="5" t="s">
        <v>153</v>
      </c>
      <c r="C838" s="10">
        <f>643+1342+909</f>
        <v>2894</v>
      </c>
    </row>
    <row r="839" spans="2:3" ht="18">
      <c r="B839" s="5" t="s">
        <v>76</v>
      </c>
      <c r="C839" s="10">
        <f>8677</f>
        <v>8677</v>
      </c>
    </row>
    <row r="840" spans="2:3" ht="18">
      <c r="B840" s="5" t="s">
        <v>111</v>
      </c>
      <c r="C840" s="10"/>
    </row>
    <row r="841" spans="2:3" ht="18">
      <c r="B841" s="5" t="s">
        <v>127</v>
      </c>
      <c r="C841" s="10">
        <f>12551</f>
        <v>12551</v>
      </c>
    </row>
    <row r="843" spans="2:3" ht="18">
      <c r="B843" s="5" t="s">
        <v>90</v>
      </c>
      <c r="C843" s="10">
        <f>2696+2952+2697</f>
        <v>8345</v>
      </c>
    </row>
    <row r="844" spans="2:3" ht="18">
      <c r="B844" s="5" t="s">
        <v>91</v>
      </c>
      <c r="C844" s="10">
        <f>5601</f>
        <v>5601</v>
      </c>
    </row>
    <row r="845" spans="2:3" ht="18">
      <c r="B845" s="5" t="s">
        <v>88</v>
      </c>
      <c r="C845" s="10">
        <f>33+55+33+22+300</f>
        <v>443</v>
      </c>
    </row>
    <row r="846" spans="2:3" ht="18">
      <c r="B846" s="5" t="s">
        <v>89</v>
      </c>
      <c r="C846" s="10">
        <f>1266+1274</f>
        <v>2540</v>
      </c>
    </row>
    <row r="847" spans="2:3" ht="18">
      <c r="B847" s="5" t="s">
        <v>92</v>
      </c>
      <c r="C847" s="10">
        <f>216+597</f>
        <v>813</v>
      </c>
    </row>
    <row r="848" spans="2:3" ht="18">
      <c r="B848" s="5" t="s">
        <v>93</v>
      </c>
      <c r="C848" s="10">
        <f>1061</f>
        <v>1061</v>
      </c>
    </row>
    <row r="849" spans="2:3" ht="18">
      <c r="B849" s="5" t="s">
        <v>100</v>
      </c>
      <c r="C849" s="10"/>
    </row>
    <row r="850" spans="2:3" ht="18">
      <c r="B850" s="5" t="s">
        <v>94</v>
      </c>
      <c r="C850" s="10"/>
    </row>
    <row r="851" ht="18">
      <c r="C851" s="11">
        <f>SUM(C823:C848)</f>
        <v>143639</v>
      </c>
    </row>
    <row r="852" spans="1:7" ht="20.25">
      <c r="A852" s="4" t="s">
        <v>222</v>
      </c>
      <c r="B852" s="14" t="s">
        <v>14</v>
      </c>
      <c r="D852" s="11">
        <v>145902.96</v>
      </c>
      <c r="F852" s="12"/>
      <c r="G852" s="12"/>
    </row>
    <row r="853" spans="1:3" ht="18">
      <c r="A853" s="4" t="s">
        <v>263</v>
      </c>
      <c r="B853" s="8" t="s">
        <v>170</v>
      </c>
      <c r="C853" s="10"/>
    </row>
    <row r="854" spans="1:3" ht="18">
      <c r="A854" s="4" t="s">
        <v>264</v>
      </c>
      <c r="B854" s="8" t="s">
        <v>327</v>
      </c>
      <c r="C854" s="10">
        <v>3244</v>
      </c>
    </row>
    <row r="855" spans="1:2" ht="18">
      <c r="A855" s="5"/>
      <c r="B855" s="17"/>
    </row>
    <row r="856" spans="2:3" ht="18">
      <c r="B856" s="5" t="s">
        <v>71</v>
      </c>
      <c r="C856" s="10">
        <f>587+1174+4885+493</f>
        <v>7139</v>
      </c>
    </row>
    <row r="857" spans="2:3" ht="18">
      <c r="B857" s="5" t="s">
        <v>69</v>
      </c>
      <c r="C857" s="10">
        <f>3768+14347+398+3181+5718</f>
        <v>27412</v>
      </c>
    </row>
    <row r="858" spans="2:3" ht="18">
      <c r="B858" s="5" t="s">
        <v>111</v>
      </c>
      <c r="C858" s="10"/>
    </row>
    <row r="859" spans="2:3" ht="18">
      <c r="B859" s="5" t="s">
        <v>152</v>
      </c>
      <c r="C859" s="10"/>
    </row>
    <row r="860" spans="2:3" ht="18">
      <c r="B860" s="5" t="s">
        <v>127</v>
      </c>
      <c r="C860" s="10">
        <v>8686</v>
      </c>
    </row>
    <row r="862" spans="2:3" ht="18">
      <c r="B862" s="5" t="s">
        <v>90</v>
      </c>
      <c r="C862" s="10">
        <f>2713+2969+5555</f>
        <v>11237</v>
      </c>
    </row>
    <row r="863" spans="2:3" ht="18">
      <c r="B863" s="5" t="s">
        <v>91</v>
      </c>
      <c r="C863" s="10"/>
    </row>
    <row r="864" spans="2:3" ht="18">
      <c r="B864" s="5" t="s">
        <v>88</v>
      </c>
      <c r="C864" s="10">
        <f>67</f>
        <v>67</v>
      </c>
    </row>
    <row r="865" spans="2:3" ht="18">
      <c r="B865" s="5" t="s">
        <v>89</v>
      </c>
      <c r="C865" s="10">
        <f>1274+1274</f>
        <v>2548</v>
      </c>
    </row>
    <row r="866" spans="2:3" ht="18">
      <c r="B866" s="5" t="s">
        <v>92</v>
      </c>
      <c r="C866" s="10">
        <f>358+184+413+322+561+866</f>
        <v>2704</v>
      </c>
    </row>
    <row r="867" spans="2:3" ht="18">
      <c r="B867" s="5" t="s">
        <v>93</v>
      </c>
      <c r="C867" s="10">
        <f>1591</f>
        <v>1591</v>
      </c>
    </row>
    <row r="868" spans="2:3" ht="18">
      <c r="B868" s="5" t="s">
        <v>94</v>
      </c>
      <c r="C868" s="10">
        <f>1493</f>
        <v>1493</v>
      </c>
    </row>
    <row r="869" ht="18">
      <c r="C869" s="11">
        <f>SUM(C853:C866)</f>
        <v>63037</v>
      </c>
    </row>
    <row r="870" spans="1:7" ht="20.25">
      <c r="A870" s="4" t="s">
        <v>184</v>
      </c>
      <c r="B870" s="14" t="s">
        <v>45</v>
      </c>
      <c r="D870" s="11">
        <v>125491.93</v>
      </c>
      <c r="F870" s="12"/>
      <c r="G870" s="12"/>
    </row>
    <row r="871" spans="1:3" ht="18">
      <c r="A871" s="4" t="s">
        <v>265</v>
      </c>
      <c r="B871" s="5" t="s">
        <v>82</v>
      </c>
      <c r="C871" s="10">
        <f>1552+597</f>
        <v>2149</v>
      </c>
    </row>
    <row r="872" spans="1:3" ht="18">
      <c r="A872" s="4" t="s">
        <v>266</v>
      </c>
      <c r="B872" s="5" t="s">
        <v>106</v>
      </c>
      <c r="C872" s="10"/>
    </row>
    <row r="873" spans="2:3" ht="18">
      <c r="B873" s="5" t="s">
        <v>83</v>
      </c>
      <c r="C873" s="18">
        <f>1181</f>
        <v>1181</v>
      </c>
    </row>
    <row r="874" spans="2:3" ht="18">
      <c r="B874" s="5" t="s">
        <v>124</v>
      </c>
      <c r="C874" s="10">
        <f>1100</f>
        <v>1100</v>
      </c>
    </row>
    <row r="875" spans="2:3" ht="18">
      <c r="B875" s="5" t="s">
        <v>404</v>
      </c>
      <c r="C875" s="10">
        <f>37569</f>
        <v>37569</v>
      </c>
    </row>
    <row r="876" spans="2:3" ht="18">
      <c r="B876" s="5" t="s">
        <v>448</v>
      </c>
      <c r="C876" s="10">
        <f>2039</f>
        <v>2039</v>
      </c>
    </row>
    <row r="877" spans="2:3" ht="18">
      <c r="B877" s="5" t="s">
        <v>145</v>
      </c>
      <c r="C877" s="10">
        <f>1430</f>
        <v>1430</v>
      </c>
    </row>
    <row r="879" spans="2:3" ht="18">
      <c r="B879" s="5" t="s">
        <v>71</v>
      </c>
      <c r="C879" s="10">
        <f>1102+1761+1761</f>
        <v>4624</v>
      </c>
    </row>
    <row r="880" spans="2:3" ht="18">
      <c r="B880" s="5" t="s">
        <v>69</v>
      </c>
      <c r="C880" s="10"/>
    </row>
    <row r="881" spans="2:3" ht="18">
      <c r="B881" s="5" t="s">
        <v>12</v>
      </c>
      <c r="C881" s="10"/>
    </row>
    <row r="882" spans="2:3" ht="18">
      <c r="B882" s="5" t="s">
        <v>353</v>
      </c>
      <c r="C882" s="10">
        <f>376+2673</f>
        <v>3049</v>
      </c>
    </row>
    <row r="883" spans="2:3" ht="18">
      <c r="B883" s="5" t="s">
        <v>73</v>
      </c>
      <c r="C883" s="10">
        <f>4813+3345</f>
        <v>8158</v>
      </c>
    </row>
    <row r="884" spans="2:3" ht="18">
      <c r="B884" s="5" t="s">
        <v>111</v>
      </c>
      <c r="C884" s="10">
        <f>7802+1019+4190</f>
        <v>13011</v>
      </c>
    </row>
    <row r="885" spans="2:3" ht="18">
      <c r="B885" s="5" t="s">
        <v>472</v>
      </c>
      <c r="C885" s="10">
        <f>31337</f>
        <v>31337</v>
      </c>
    </row>
    <row r="886" spans="2:3" ht="18">
      <c r="B886" s="5" t="s">
        <v>324</v>
      </c>
      <c r="C886" s="10">
        <f>2542</f>
        <v>2542</v>
      </c>
    </row>
    <row r="887" spans="2:3" ht="18">
      <c r="B887" s="5" t="s">
        <v>127</v>
      </c>
      <c r="C887" s="10">
        <f>7375</f>
        <v>7375</v>
      </c>
    </row>
    <row r="889" spans="2:3" ht="18">
      <c r="B889" s="5" t="s">
        <v>90</v>
      </c>
      <c r="C889" s="10">
        <f>2952+2696+2696+2713+2713+2713+2969</f>
        <v>19452</v>
      </c>
    </row>
    <row r="890" spans="2:3" ht="18">
      <c r="B890" s="5" t="s">
        <v>91</v>
      </c>
      <c r="C890" s="10"/>
    </row>
    <row r="891" spans="2:3" ht="18">
      <c r="B891" s="5" t="s">
        <v>88</v>
      </c>
      <c r="C891" s="10">
        <f>55+33+33+33+33+33+33+22</f>
        <v>275</v>
      </c>
    </row>
    <row r="892" spans="2:3" ht="18">
      <c r="B892" s="5" t="s">
        <v>89</v>
      </c>
      <c r="C892" s="10">
        <f>1266+1274</f>
        <v>2540</v>
      </c>
    </row>
    <row r="893" spans="2:3" ht="18">
      <c r="B893" s="5" t="s">
        <v>92</v>
      </c>
      <c r="C893" s="10">
        <f>226+358+226+371+322+788+413+551</f>
        <v>3255</v>
      </c>
    </row>
    <row r="894" spans="2:3" ht="18">
      <c r="B894" s="5" t="s">
        <v>93</v>
      </c>
      <c r="C894" s="10">
        <f>1061</f>
        <v>1061</v>
      </c>
    </row>
    <row r="895" spans="2:3" ht="18">
      <c r="B895" s="5" t="s">
        <v>156</v>
      </c>
      <c r="C895" s="10"/>
    </row>
    <row r="896" spans="2:3" ht="18">
      <c r="B896" s="5" t="s">
        <v>94</v>
      </c>
      <c r="C896" s="10"/>
    </row>
    <row r="897" ht="18">
      <c r="C897" s="11">
        <f>SUM(C871:C895)</f>
        <v>142147</v>
      </c>
    </row>
    <row r="898" spans="1:7" ht="20.25">
      <c r="A898" s="4" t="s">
        <v>240</v>
      </c>
      <c r="B898" s="14" t="s">
        <v>46</v>
      </c>
      <c r="D898" s="11">
        <v>326747.42</v>
      </c>
      <c r="F898" s="12"/>
      <c r="G898" s="12"/>
    </row>
    <row r="899" spans="1:3" ht="18">
      <c r="A899" s="4" t="s">
        <v>267</v>
      </c>
      <c r="B899" s="5" t="s">
        <v>170</v>
      </c>
      <c r="C899" s="10">
        <f>1756</f>
        <v>1756</v>
      </c>
    </row>
    <row r="900" spans="1:3" ht="18">
      <c r="A900" s="4" t="s">
        <v>268</v>
      </c>
      <c r="B900" s="5" t="s">
        <v>82</v>
      </c>
      <c r="C900" s="10">
        <f>1551+3285</f>
        <v>4836</v>
      </c>
    </row>
    <row r="901" spans="2:3" ht="18">
      <c r="B901" s="5" t="s">
        <v>124</v>
      </c>
      <c r="C901" s="10">
        <f>1100</f>
        <v>1100</v>
      </c>
    </row>
    <row r="902" spans="2:3" ht="18">
      <c r="B902" s="5" t="s">
        <v>130</v>
      </c>
      <c r="C902" s="10"/>
    </row>
    <row r="903" spans="2:3" ht="18">
      <c r="B903" s="5" t="s">
        <v>355</v>
      </c>
      <c r="C903" s="10"/>
    </row>
    <row r="904" spans="2:3" ht="18">
      <c r="B904" s="5" t="s">
        <v>159</v>
      </c>
      <c r="C904" s="10"/>
    </row>
    <row r="905" spans="2:3" ht="18">
      <c r="B905" s="5" t="s">
        <v>454</v>
      </c>
      <c r="C905" s="10">
        <f>6526</f>
        <v>6526</v>
      </c>
    </row>
    <row r="906" spans="2:3" ht="18">
      <c r="B906" s="5" t="s">
        <v>145</v>
      </c>
      <c r="C906" s="10">
        <f>6247</f>
        <v>6247</v>
      </c>
    </row>
    <row r="907" spans="2:3" ht="18">
      <c r="B907" s="5" t="s">
        <v>427</v>
      </c>
      <c r="C907" s="10">
        <f>10684+3586</f>
        <v>14270</v>
      </c>
    </row>
    <row r="908" spans="2:3" ht="18">
      <c r="B908" s="5" t="s">
        <v>405</v>
      </c>
      <c r="C908" s="10">
        <f>22541+27049</f>
        <v>49590</v>
      </c>
    </row>
    <row r="909" spans="2:3" ht="18">
      <c r="B909" s="8" t="s">
        <v>444</v>
      </c>
      <c r="C909" s="10">
        <f>2237</f>
        <v>2237</v>
      </c>
    </row>
    <row r="910" spans="2:3" ht="18">
      <c r="B910" s="8" t="s">
        <v>133</v>
      </c>
      <c r="C910" s="10"/>
    </row>
    <row r="911" ht="18">
      <c r="B911" s="8"/>
    </row>
    <row r="912" spans="2:3" ht="18">
      <c r="B912" s="5" t="s">
        <v>71</v>
      </c>
      <c r="C912" s="10">
        <f>2755+6779+1174+12569+4776</f>
        <v>28053</v>
      </c>
    </row>
    <row r="913" spans="2:3" ht="18">
      <c r="B913" s="5" t="s">
        <v>69</v>
      </c>
      <c r="C913" s="10">
        <f>507</f>
        <v>507</v>
      </c>
    </row>
    <row r="914" spans="2:3" ht="18">
      <c r="B914" s="5" t="s">
        <v>111</v>
      </c>
      <c r="C914" s="10">
        <f>16354+2244+3010+1332+2038+6684</f>
        <v>31662</v>
      </c>
    </row>
    <row r="915" spans="2:3" ht="18">
      <c r="B915" s="5" t="s">
        <v>77</v>
      </c>
      <c r="C915" s="10"/>
    </row>
    <row r="916" spans="2:3" ht="18">
      <c r="B916" s="5" t="s">
        <v>98</v>
      </c>
      <c r="C916" s="10">
        <f>2438+2747+1269</f>
        <v>6454</v>
      </c>
    </row>
    <row r="917" spans="2:3" ht="18">
      <c r="B917" s="5" t="s">
        <v>472</v>
      </c>
      <c r="C917" s="10">
        <f>30250+53248</f>
        <v>83498</v>
      </c>
    </row>
    <row r="918" spans="2:3" ht="18">
      <c r="B918" s="5" t="s">
        <v>326</v>
      </c>
      <c r="C918" s="10">
        <f>3076+2685+1220+376</f>
        <v>7357</v>
      </c>
    </row>
    <row r="919" spans="2:3" ht="18">
      <c r="B919" s="5" t="s">
        <v>127</v>
      </c>
      <c r="C919" s="10">
        <f>16747</f>
        <v>16747</v>
      </c>
    </row>
    <row r="921" spans="2:3" ht="18">
      <c r="B921" s="5" t="s">
        <v>90</v>
      </c>
      <c r="C921" s="10">
        <f>8089+2696+2713+2458+5427</f>
        <v>21383</v>
      </c>
    </row>
    <row r="922" spans="2:3" ht="18">
      <c r="B922" s="5" t="s">
        <v>91</v>
      </c>
      <c r="C922" s="10"/>
    </row>
    <row r="923" spans="2:3" ht="18">
      <c r="B923" s="5" t="s">
        <v>88</v>
      </c>
      <c r="C923" s="10">
        <f>22+99+33+22+33+33+67</f>
        <v>309</v>
      </c>
    </row>
    <row r="924" spans="2:3" ht="18">
      <c r="B924" s="5" t="s">
        <v>89</v>
      </c>
      <c r="C924" s="10">
        <f>1266+1274</f>
        <v>2540</v>
      </c>
    </row>
    <row r="925" spans="2:3" ht="18">
      <c r="B925" s="5" t="s">
        <v>92</v>
      </c>
      <c r="C925" s="10">
        <f>401+173+345+401+226+184+184+1612+739</f>
        <v>4265</v>
      </c>
    </row>
    <row r="926" spans="2:3" ht="18">
      <c r="B926" s="5" t="s">
        <v>93</v>
      </c>
      <c r="C926" s="10">
        <f>1061</f>
        <v>1061</v>
      </c>
    </row>
    <row r="927" spans="2:3" ht="18">
      <c r="B927" s="5" t="s">
        <v>100</v>
      </c>
      <c r="C927" s="10"/>
    </row>
    <row r="928" spans="2:3" ht="18">
      <c r="B928" s="5" t="s">
        <v>94</v>
      </c>
      <c r="C928" s="10"/>
    </row>
    <row r="929" ht="18">
      <c r="C929" s="11">
        <f>SUM(C899:C927)</f>
        <v>290398</v>
      </c>
    </row>
    <row r="930" spans="1:7" ht="20.25">
      <c r="A930" s="4" t="s">
        <v>269</v>
      </c>
      <c r="B930" s="14" t="s">
        <v>47</v>
      </c>
      <c r="D930" s="11">
        <v>110841.81</v>
      </c>
      <c r="F930" s="12"/>
      <c r="G930" s="12"/>
    </row>
    <row r="931" spans="1:3" ht="18">
      <c r="A931" s="4" t="s">
        <v>270</v>
      </c>
      <c r="B931" s="5" t="s">
        <v>363</v>
      </c>
      <c r="C931" s="10"/>
    </row>
    <row r="932" spans="1:3" ht="18">
      <c r="A932" s="4" t="s">
        <v>271</v>
      </c>
      <c r="B932" s="5" t="s">
        <v>124</v>
      </c>
      <c r="C932" s="10">
        <f>1106</f>
        <v>1106</v>
      </c>
    </row>
    <row r="933" spans="2:3" ht="18">
      <c r="B933" s="5" t="s">
        <v>170</v>
      </c>
      <c r="C933" s="10"/>
    </row>
    <row r="934" spans="2:3" ht="18">
      <c r="B934" s="5" t="s">
        <v>303</v>
      </c>
      <c r="C934" s="10"/>
    </row>
    <row r="935" spans="2:3" ht="18">
      <c r="B935" s="5" t="s">
        <v>157</v>
      </c>
      <c r="C935" s="10">
        <f>1986</f>
        <v>1986</v>
      </c>
    </row>
    <row r="936" spans="2:3" ht="18">
      <c r="B936" s="5" t="s">
        <v>306</v>
      </c>
      <c r="C936" s="10">
        <f>1449</f>
        <v>1449</v>
      </c>
    </row>
    <row r="937" spans="2:3" ht="18">
      <c r="B937" s="5" t="s">
        <v>422</v>
      </c>
      <c r="C937" s="10">
        <f>5603</f>
        <v>5603</v>
      </c>
    </row>
    <row r="938" spans="2:3" ht="18">
      <c r="B938" s="5" t="s">
        <v>392</v>
      </c>
      <c r="C938" s="10">
        <f>1302</f>
        <v>1302</v>
      </c>
    </row>
    <row r="939" spans="2:3" ht="18">
      <c r="B939" s="5" t="s">
        <v>159</v>
      </c>
      <c r="C939" s="10"/>
    </row>
    <row r="940" spans="2:3" ht="18">
      <c r="B940" s="5" t="s">
        <v>85</v>
      </c>
      <c r="C940" s="10">
        <f>1483</f>
        <v>1483</v>
      </c>
    </row>
    <row r="942" spans="2:3" ht="18">
      <c r="B942" s="5" t="s">
        <v>95</v>
      </c>
      <c r="C942" s="10"/>
    </row>
    <row r="943" spans="2:3" ht="18">
      <c r="B943" s="5" t="s">
        <v>71</v>
      </c>
      <c r="C943" s="10">
        <f>1102+1761+1174</f>
        <v>4037</v>
      </c>
    </row>
    <row r="944" spans="2:3" ht="18">
      <c r="B944" s="5" t="s">
        <v>69</v>
      </c>
      <c r="C944" s="10">
        <f>1193+795</f>
        <v>1988</v>
      </c>
    </row>
    <row r="945" spans="2:3" ht="18">
      <c r="B945" s="5" t="s">
        <v>12</v>
      </c>
      <c r="C945" s="10">
        <f>3072</f>
        <v>3072</v>
      </c>
    </row>
    <row r="946" spans="2:3" ht="18">
      <c r="B946" s="5" t="s">
        <v>72</v>
      </c>
      <c r="C946" s="10">
        <f>2892</f>
        <v>2892</v>
      </c>
    </row>
    <row r="947" spans="2:3" ht="18">
      <c r="B947" s="5" t="s">
        <v>153</v>
      </c>
      <c r="C947" s="10"/>
    </row>
    <row r="948" spans="2:3" ht="18">
      <c r="B948" s="5" t="s">
        <v>127</v>
      </c>
      <c r="C948" s="10">
        <f>5467</f>
        <v>5467</v>
      </c>
    </row>
    <row r="950" spans="2:3" ht="18">
      <c r="B950" s="5" t="s">
        <v>90</v>
      </c>
      <c r="C950" s="10">
        <f>5393+2713</f>
        <v>8106</v>
      </c>
    </row>
    <row r="951" spans="2:3" ht="18">
      <c r="B951" s="5" t="s">
        <v>91</v>
      </c>
      <c r="C951" s="10"/>
    </row>
    <row r="952" spans="2:3" ht="18">
      <c r="B952" s="5" t="s">
        <v>88</v>
      </c>
      <c r="C952" s="10">
        <f>66+33</f>
        <v>99</v>
      </c>
    </row>
    <row r="953" spans="2:3" ht="18">
      <c r="B953" s="5" t="s">
        <v>89</v>
      </c>
      <c r="C953" s="10"/>
    </row>
    <row r="954" spans="2:3" ht="18">
      <c r="B954" s="5" t="s">
        <v>92</v>
      </c>
      <c r="C954" s="10"/>
    </row>
    <row r="955" spans="2:3" ht="18">
      <c r="B955" s="5" t="s">
        <v>93</v>
      </c>
      <c r="C955" s="10"/>
    </row>
    <row r="956" spans="2:3" ht="18">
      <c r="B956" s="5" t="s">
        <v>94</v>
      </c>
      <c r="C956" s="10"/>
    </row>
    <row r="957" ht="18">
      <c r="C957" s="11">
        <f>SUM(C931:C954)</f>
        <v>38590</v>
      </c>
    </row>
    <row r="958" spans="1:7" ht="20.25">
      <c r="A958" s="4" t="s">
        <v>272</v>
      </c>
      <c r="B958" s="14" t="s">
        <v>48</v>
      </c>
      <c r="D958" s="11">
        <v>109992.77</v>
      </c>
      <c r="F958" s="12"/>
      <c r="G958" s="12"/>
    </row>
    <row r="959" spans="1:3" ht="18">
      <c r="A959" s="4" t="s">
        <v>310</v>
      </c>
      <c r="B959" s="8" t="s">
        <v>123</v>
      </c>
      <c r="C959" s="10"/>
    </row>
    <row r="960" spans="1:3" ht="18">
      <c r="A960" s="4" t="s">
        <v>273</v>
      </c>
      <c r="B960" s="8" t="s">
        <v>118</v>
      </c>
      <c r="C960" s="10"/>
    </row>
    <row r="961" spans="2:3" ht="18">
      <c r="B961" s="5" t="s">
        <v>124</v>
      </c>
      <c r="C961" s="10"/>
    </row>
    <row r="962" spans="2:3" ht="18">
      <c r="B962" s="5" t="s">
        <v>159</v>
      </c>
      <c r="C962" s="10"/>
    </row>
    <row r="963" spans="2:3" ht="18">
      <c r="B963" s="5" t="s">
        <v>170</v>
      </c>
      <c r="C963" s="10"/>
    </row>
    <row r="964" spans="2:3" ht="18">
      <c r="B964" s="5" t="s">
        <v>391</v>
      </c>
      <c r="C964" s="10">
        <f>2958</f>
        <v>2958</v>
      </c>
    </row>
    <row r="965" spans="2:3" ht="18">
      <c r="B965" s="5" t="s">
        <v>157</v>
      </c>
      <c r="C965" s="10">
        <f>3972</f>
        <v>3972</v>
      </c>
    </row>
    <row r="966" spans="2:3" ht="18">
      <c r="B966" s="5" t="s">
        <v>85</v>
      </c>
      <c r="C966" s="10"/>
    </row>
    <row r="967" spans="2:3" ht="18">
      <c r="B967" s="5" t="s">
        <v>136</v>
      </c>
      <c r="C967" s="10"/>
    </row>
    <row r="968" ht="18">
      <c r="B968" s="8"/>
    </row>
    <row r="969" spans="2:3" ht="18">
      <c r="B969" s="5" t="s">
        <v>71</v>
      </c>
      <c r="C969" s="10">
        <f>3142+1174</f>
        <v>4316</v>
      </c>
    </row>
    <row r="970" spans="2:3" ht="18">
      <c r="B970" s="5" t="s">
        <v>69</v>
      </c>
      <c r="C970" s="10">
        <f>4873+9619+795+1523</f>
        <v>16810</v>
      </c>
    </row>
    <row r="971" spans="2:3" ht="18">
      <c r="B971" s="5" t="s">
        <v>95</v>
      </c>
      <c r="C971" s="10"/>
    </row>
    <row r="972" spans="2:3" ht="18">
      <c r="B972" s="5" t="s">
        <v>76</v>
      </c>
      <c r="C972" s="10"/>
    </row>
    <row r="973" spans="2:3" ht="18">
      <c r="B973" s="5" t="s">
        <v>154</v>
      </c>
      <c r="C973" s="10"/>
    </row>
    <row r="974" spans="2:3" ht="18">
      <c r="B974" s="5" t="s">
        <v>127</v>
      </c>
      <c r="C974" s="10">
        <f>5467</f>
        <v>5467</v>
      </c>
    </row>
    <row r="976" spans="2:3" ht="18">
      <c r="B976" s="5" t="s">
        <v>90</v>
      </c>
      <c r="C976" s="10">
        <f>5393</f>
        <v>5393</v>
      </c>
    </row>
    <row r="977" spans="2:3" ht="18">
      <c r="B977" s="5" t="s">
        <v>91</v>
      </c>
      <c r="C977" s="10"/>
    </row>
    <row r="978" spans="2:3" ht="18">
      <c r="B978" s="5" t="s">
        <v>88</v>
      </c>
      <c r="C978" s="10">
        <f>66+20</f>
        <v>86</v>
      </c>
    </row>
    <row r="979" spans="2:3" ht="18">
      <c r="B979" s="5" t="s">
        <v>89</v>
      </c>
      <c r="C979" s="10">
        <f>1274</f>
        <v>1274</v>
      </c>
    </row>
    <row r="980" spans="2:3" ht="18">
      <c r="B980" s="5" t="s">
        <v>92</v>
      </c>
      <c r="C980" s="10"/>
    </row>
    <row r="981" spans="2:3" ht="18">
      <c r="B981" s="5" t="s">
        <v>93</v>
      </c>
      <c r="C981" s="10">
        <f>530</f>
        <v>530</v>
      </c>
    </row>
    <row r="982" spans="2:3" ht="18">
      <c r="B982" s="5" t="s">
        <v>100</v>
      </c>
      <c r="C982" s="10"/>
    </row>
    <row r="983" spans="2:3" ht="18">
      <c r="B983" s="5" t="s">
        <v>94</v>
      </c>
      <c r="C983" s="10"/>
    </row>
    <row r="984" ht="18">
      <c r="C984" s="11">
        <f>SUM(C959:C982)</f>
        <v>40806</v>
      </c>
    </row>
    <row r="985" spans="1:7" ht="20.25">
      <c r="A985" s="4" t="s">
        <v>232</v>
      </c>
      <c r="B985" s="14" t="s">
        <v>49</v>
      </c>
      <c r="D985" s="11">
        <v>338987.2</v>
      </c>
      <c r="F985" s="12"/>
      <c r="G985" s="12"/>
    </row>
    <row r="986" spans="1:3" ht="18">
      <c r="A986" s="4" t="s">
        <v>274</v>
      </c>
      <c r="B986" s="5" t="s">
        <v>386</v>
      </c>
      <c r="C986" s="10">
        <f>2046+982+2166+1204</f>
        <v>6398</v>
      </c>
    </row>
    <row r="987" spans="1:3" ht="18">
      <c r="A987" s="4" t="s">
        <v>275</v>
      </c>
      <c r="B987" s="5" t="s">
        <v>122</v>
      </c>
      <c r="C987" s="10">
        <f>1100</f>
        <v>1100</v>
      </c>
    </row>
    <row r="988" spans="2:3" ht="18">
      <c r="B988" s="5" t="s">
        <v>85</v>
      </c>
      <c r="C988" s="10">
        <f>1572+2651+2090</f>
        <v>6313</v>
      </c>
    </row>
    <row r="989" spans="2:3" ht="18">
      <c r="B989" s="5" t="s">
        <v>84</v>
      </c>
      <c r="C989" s="10"/>
    </row>
    <row r="990" spans="2:3" ht="18">
      <c r="B990" s="5" t="s">
        <v>387</v>
      </c>
      <c r="C990" s="10">
        <f>1566</f>
        <v>1566</v>
      </c>
    </row>
    <row r="991" spans="2:3" ht="18">
      <c r="B991" s="5" t="s">
        <v>181</v>
      </c>
      <c r="C991" s="10"/>
    </row>
    <row r="992" spans="2:3" ht="18">
      <c r="B992" s="5" t="s">
        <v>396</v>
      </c>
      <c r="C992" s="10">
        <f>1665</f>
        <v>1665</v>
      </c>
    </row>
    <row r="993" spans="2:3" ht="18">
      <c r="B993" s="5" t="s">
        <v>369</v>
      </c>
      <c r="C993" s="10">
        <f>2929</f>
        <v>2929</v>
      </c>
    </row>
    <row r="994" spans="2:3" ht="18">
      <c r="B994" s="5" t="s">
        <v>145</v>
      </c>
      <c r="C994" s="10">
        <f>1242</f>
        <v>1242</v>
      </c>
    </row>
    <row r="995" spans="2:3" ht="18">
      <c r="B995" s="5" t="s">
        <v>383</v>
      </c>
      <c r="C995" s="10">
        <f>11039+1806</f>
        <v>12845</v>
      </c>
    </row>
    <row r="996" spans="2:3" ht="18">
      <c r="B996" s="5" t="s">
        <v>364</v>
      </c>
      <c r="C996" s="10"/>
    </row>
    <row r="997" spans="2:4" ht="18">
      <c r="B997" s="5" t="s">
        <v>417</v>
      </c>
      <c r="C997" s="10">
        <f>4408</f>
        <v>4408</v>
      </c>
      <c r="D997" s="13"/>
    </row>
    <row r="999" spans="2:3" ht="18">
      <c r="B999" s="5" t="s">
        <v>71</v>
      </c>
      <c r="C999" s="10">
        <f>1102+2204+1102+3142+2348+1174+2348+2348+1174</f>
        <v>16942</v>
      </c>
    </row>
    <row r="1000" spans="2:3" ht="18">
      <c r="B1000" s="5" t="s">
        <v>69</v>
      </c>
      <c r="C1000" s="10">
        <f>1576+1970</f>
        <v>3546</v>
      </c>
    </row>
    <row r="1001" spans="2:3" ht="18">
      <c r="B1001" s="5" t="s">
        <v>73</v>
      </c>
      <c r="C1001" s="10">
        <f>3977+5026+362+9630+5532+16045+5110</f>
        <v>45682</v>
      </c>
    </row>
    <row r="1002" spans="2:3" ht="18">
      <c r="B1002" s="5" t="s">
        <v>12</v>
      </c>
      <c r="C1002" s="10">
        <f>2560</f>
        <v>2560</v>
      </c>
    </row>
    <row r="1003" spans="2:3" ht="18">
      <c r="B1003" s="5" t="s">
        <v>98</v>
      </c>
      <c r="C1003" s="10">
        <f>2747+2024</f>
        <v>4771</v>
      </c>
    </row>
    <row r="1004" spans="2:3" ht="18">
      <c r="B1004" s="5" t="s">
        <v>111</v>
      </c>
      <c r="C1004" s="10">
        <f>7913+5993+5017+3247+679+1564+1019+1971+1359+2655</f>
        <v>31417</v>
      </c>
    </row>
    <row r="1005" spans="2:3" ht="18">
      <c r="B1005" s="5" t="s">
        <v>127</v>
      </c>
      <c r="C1005" s="10">
        <f>19780</f>
        <v>19780</v>
      </c>
    </row>
    <row r="1007" spans="2:3" ht="18">
      <c r="B1007" s="5" t="s">
        <v>90</v>
      </c>
      <c r="C1007" s="10">
        <f>2952+8345+8345+5682+2969+5427+2713+10853+14206+5427+8651</f>
        <v>75570</v>
      </c>
    </row>
    <row r="1008" spans="2:3" ht="18">
      <c r="B1008" s="5" t="s">
        <v>91</v>
      </c>
      <c r="C1008" s="10">
        <f>6514</f>
        <v>6514</v>
      </c>
    </row>
    <row r="1009" spans="2:3" ht="18">
      <c r="B1009" s="5" t="s">
        <v>88</v>
      </c>
      <c r="C1009" s="10">
        <f>55+122+144+67+54+67+33+200+1332+111+145</f>
        <v>2330</v>
      </c>
    </row>
    <row r="1010" spans="2:3" ht="18">
      <c r="B1010" s="5" t="s">
        <v>89</v>
      </c>
      <c r="C1010" s="10">
        <f>1266+1266+2531+1274+3823+2549+2549</f>
        <v>15258</v>
      </c>
    </row>
    <row r="1011" spans="2:5" ht="18">
      <c r="B1011" s="5" t="s">
        <v>92</v>
      </c>
      <c r="C1011" s="10">
        <f>173+987+597+371+367+230+597+417+1300</f>
        <v>5039</v>
      </c>
      <c r="E1011" s="13"/>
    </row>
    <row r="1012" spans="2:3" ht="18">
      <c r="B1012" s="5" t="s">
        <v>93</v>
      </c>
      <c r="C1012" s="10"/>
    </row>
    <row r="1013" spans="2:3" ht="18">
      <c r="B1013" s="5" t="s">
        <v>94</v>
      </c>
      <c r="C1013" s="10"/>
    </row>
    <row r="1014" ht="18">
      <c r="C1014" s="11">
        <f>SUM(C986:C1012)</f>
        <v>267875</v>
      </c>
    </row>
    <row r="1015" spans="1:7" ht="20.25">
      <c r="A1015" s="4" t="s">
        <v>192</v>
      </c>
      <c r="B1015" s="14" t="s">
        <v>3</v>
      </c>
      <c r="D1015" s="11">
        <v>155407.6</v>
      </c>
      <c r="F1015" s="12"/>
      <c r="G1015" s="12"/>
    </row>
    <row r="1016" spans="1:3" ht="18">
      <c r="A1016" s="4" t="s">
        <v>276</v>
      </c>
      <c r="B1016" s="5" t="s">
        <v>463</v>
      </c>
      <c r="C1016" s="10">
        <f>2127+4733</f>
        <v>6860</v>
      </c>
    </row>
    <row r="1017" spans="1:3" ht="18">
      <c r="A1017" s="4" t="s">
        <v>277</v>
      </c>
      <c r="B1017" s="5" t="s">
        <v>160</v>
      </c>
      <c r="C1017" s="10"/>
    </row>
    <row r="1018" spans="2:3" ht="18">
      <c r="B1018" s="5" t="s">
        <v>439</v>
      </c>
      <c r="C1018" s="10">
        <f>1181+1003</f>
        <v>2184</v>
      </c>
    </row>
    <row r="1019" spans="2:3" ht="18">
      <c r="B1019" s="5" t="s">
        <v>178</v>
      </c>
      <c r="C1019" s="10"/>
    </row>
    <row r="1020" spans="2:3" ht="18">
      <c r="B1020" s="5" t="s">
        <v>122</v>
      </c>
      <c r="C1020" s="10">
        <f>1106+2769</f>
        <v>3875</v>
      </c>
    </row>
    <row r="1021" spans="2:3" ht="18">
      <c r="B1021" s="5" t="s">
        <v>164</v>
      </c>
      <c r="C1021" s="10">
        <f>185</f>
        <v>185</v>
      </c>
    </row>
    <row r="1022" spans="2:3" ht="18">
      <c r="B1022" s="5" t="s">
        <v>157</v>
      </c>
      <c r="C1022" s="10"/>
    </row>
    <row r="1023" spans="2:3" ht="18">
      <c r="B1023" s="5" t="s">
        <v>85</v>
      </c>
      <c r="C1023" s="10">
        <f>682+1483+896</f>
        <v>3061</v>
      </c>
    </row>
    <row r="1025" spans="2:3" ht="18">
      <c r="B1025" s="5" t="s">
        <v>71</v>
      </c>
      <c r="C1025" s="10">
        <f>1102+2204+1174+1761+1174+438+1174</f>
        <v>9027</v>
      </c>
    </row>
    <row r="1026" spans="2:3" ht="18">
      <c r="B1026" s="5" t="s">
        <v>69</v>
      </c>
      <c r="C1026" s="10">
        <f>1193+1590+2030</f>
        <v>4813</v>
      </c>
    </row>
    <row r="1027" spans="2:3" ht="18">
      <c r="B1027" s="5" t="s">
        <v>72</v>
      </c>
      <c r="C1027" s="10">
        <f>1034+10147+4520+4956</f>
        <v>20657</v>
      </c>
    </row>
    <row r="1028" spans="2:3" ht="18">
      <c r="B1028" s="5" t="s">
        <v>74</v>
      </c>
      <c r="C1028" s="10">
        <f>6021+1359+4681+2038+3983</f>
        <v>18082</v>
      </c>
    </row>
    <row r="1029" spans="2:3" ht="18">
      <c r="B1029" s="5" t="s">
        <v>12</v>
      </c>
      <c r="C1029" s="10"/>
    </row>
    <row r="1030" spans="2:3" ht="18">
      <c r="B1030" s="5" t="s">
        <v>97</v>
      </c>
      <c r="C1030" s="10">
        <f>2542</f>
        <v>2542</v>
      </c>
    </row>
    <row r="1031" spans="2:3" ht="18">
      <c r="B1031" s="5" t="s">
        <v>127</v>
      </c>
      <c r="C1031" s="10">
        <f>10562</f>
        <v>10562</v>
      </c>
    </row>
    <row r="1033" spans="2:3" ht="18">
      <c r="B1033" s="5" t="s">
        <v>90</v>
      </c>
      <c r="C1033" s="10">
        <f>2697+2697+2969+2969+5554</f>
        <v>16886</v>
      </c>
    </row>
    <row r="1034" spans="2:3" ht="18">
      <c r="B1034" s="5" t="s">
        <v>91</v>
      </c>
      <c r="C1034" s="10"/>
    </row>
    <row r="1035" spans="2:3" ht="18">
      <c r="B1035" s="5" t="s">
        <v>88</v>
      </c>
      <c r="C1035" s="10">
        <f>33+33+56+33+67</f>
        <v>222</v>
      </c>
    </row>
    <row r="1036" spans="2:3" ht="18">
      <c r="B1036" s="5" t="s">
        <v>89</v>
      </c>
      <c r="C1036" s="10">
        <f>1274+1274</f>
        <v>2548</v>
      </c>
    </row>
    <row r="1037" spans="2:3" ht="18">
      <c r="B1037" s="5" t="s">
        <v>92</v>
      </c>
      <c r="C1037" s="10">
        <f>368+604+184</f>
        <v>1156</v>
      </c>
    </row>
    <row r="1038" spans="2:3" ht="18">
      <c r="B1038" s="5" t="s">
        <v>93</v>
      </c>
      <c r="C1038" s="10"/>
    </row>
    <row r="1039" spans="2:3" ht="18">
      <c r="B1039" s="5" t="s">
        <v>94</v>
      </c>
      <c r="C1039" s="10"/>
    </row>
    <row r="1040" ht="18">
      <c r="C1040" s="11">
        <f>SUM(C1016:C1039)</f>
        <v>102660</v>
      </c>
    </row>
    <row r="1041" spans="1:7" ht="20.25">
      <c r="A1041" s="4" t="s">
        <v>252</v>
      </c>
      <c r="B1041" s="14" t="s">
        <v>0</v>
      </c>
      <c r="D1041" s="11">
        <v>414990.08</v>
      </c>
      <c r="F1041" s="12"/>
      <c r="G1041" s="12"/>
    </row>
    <row r="1042" spans="1:3" ht="18">
      <c r="A1042" s="4" t="s">
        <v>278</v>
      </c>
      <c r="B1042" s="5" t="s">
        <v>85</v>
      </c>
      <c r="C1042" s="18">
        <f>341+3583+733+1493</f>
        <v>6150</v>
      </c>
    </row>
    <row r="1043" spans="1:3" ht="18">
      <c r="A1043" s="4" t="s">
        <v>279</v>
      </c>
      <c r="B1043" s="5" t="s">
        <v>365</v>
      </c>
      <c r="C1043" s="18"/>
    </row>
    <row r="1044" spans="2:3" ht="18">
      <c r="B1044" s="5" t="s">
        <v>366</v>
      </c>
      <c r="C1044" s="18"/>
    </row>
    <row r="1045" spans="2:3" ht="18">
      <c r="B1045" s="5" t="s">
        <v>170</v>
      </c>
      <c r="C1045" s="18"/>
    </row>
    <row r="1046" spans="2:3" ht="18">
      <c r="B1046" s="5" t="s">
        <v>115</v>
      </c>
      <c r="C1046" s="18">
        <f>3318</f>
        <v>3318</v>
      </c>
    </row>
    <row r="1047" spans="2:3" ht="18">
      <c r="B1047" s="5" t="s">
        <v>123</v>
      </c>
      <c r="C1047" s="18"/>
    </row>
    <row r="1048" spans="2:3" ht="18">
      <c r="B1048" s="8" t="s">
        <v>116</v>
      </c>
      <c r="C1048" s="18"/>
    </row>
    <row r="1049" spans="2:3" ht="18">
      <c r="B1049" s="5" t="s">
        <v>464</v>
      </c>
      <c r="C1049" s="18">
        <f>4733</f>
        <v>4733</v>
      </c>
    </row>
    <row r="1050" spans="2:3" ht="18">
      <c r="B1050" s="8" t="s">
        <v>300</v>
      </c>
      <c r="C1050" s="18">
        <f>668</f>
        <v>668</v>
      </c>
    </row>
    <row r="1051" spans="2:3" ht="18">
      <c r="B1051" s="8" t="s">
        <v>444</v>
      </c>
      <c r="C1051" s="10">
        <f>1375</f>
        <v>1375</v>
      </c>
    </row>
    <row r="1052" spans="2:3" ht="18">
      <c r="B1052" s="8" t="s">
        <v>145</v>
      </c>
      <c r="C1052" s="18">
        <f>8518</f>
        <v>8518</v>
      </c>
    </row>
    <row r="1053" spans="2:3" ht="18">
      <c r="B1053" s="8" t="s">
        <v>435</v>
      </c>
      <c r="C1053" s="18">
        <f>110568+10555+110576</f>
        <v>231699</v>
      </c>
    </row>
    <row r="1054" spans="2:3" ht="18">
      <c r="B1054" s="8" t="s">
        <v>305</v>
      </c>
      <c r="C1054" s="18">
        <f>3132</f>
        <v>3132</v>
      </c>
    </row>
    <row r="1055" spans="2:3" ht="18">
      <c r="B1055" s="8" t="s">
        <v>415</v>
      </c>
      <c r="C1055" s="18">
        <f>206024+12373</f>
        <v>218397</v>
      </c>
    </row>
    <row r="1056" spans="2:5" ht="18">
      <c r="B1056" s="8" t="s">
        <v>164</v>
      </c>
      <c r="C1056" s="18"/>
      <c r="E1056" s="1"/>
    </row>
    <row r="1057" spans="2:3" ht="18">
      <c r="B1057" s="17"/>
      <c r="C1057" s="17"/>
    </row>
    <row r="1058" spans="2:3" ht="18">
      <c r="B1058" s="5" t="s">
        <v>71</v>
      </c>
      <c r="C1058" s="10">
        <f>1102+1102+1102+1480+2935+606+1174</f>
        <v>9501</v>
      </c>
    </row>
    <row r="1059" spans="2:3" ht="18">
      <c r="B1059" s="5" t="s">
        <v>69</v>
      </c>
      <c r="C1059" s="10">
        <f>6054+11210+2783+3261</f>
        <v>23308</v>
      </c>
    </row>
    <row r="1060" spans="2:3" ht="18">
      <c r="B1060" s="5" t="s">
        <v>110</v>
      </c>
      <c r="C1060" s="10">
        <f>3571</f>
        <v>3571</v>
      </c>
    </row>
    <row r="1061" spans="2:3" ht="18">
      <c r="B1061" s="5" t="s">
        <v>12</v>
      </c>
      <c r="C1061" s="10"/>
    </row>
    <row r="1062" spans="2:3" ht="18">
      <c r="B1062" s="5" t="s">
        <v>74</v>
      </c>
      <c r="C1062" s="10">
        <f>1505+1742+12458</f>
        <v>15705</v>
      </c>
    </row>
    <row r="1063" spans="2:3" ht="18">
      <c r="B1063" s="5" t="s">
        <v>72</v>
      </c>
      <c r="C1063" s="10"/>
    </row>
    <row r="1064" spans="2:3" ht="18">
      <c r="B1064" s="5" t="s">
        <v>154</v>
      </c>
      <c r="C1064" s="10">
        <f>37812+66560</f>
        <v>104372</v>
      </c>
    </row>
    <row r="1065" spans="2:3" ht="18">
      <c r="B1065" s="5" t="s">
        <v>127</v>
      </c>
      <c r="C1065" s="10">
        <f>20730</f>
        <v>20730</v>
      </c>
    </row>
    <row r="1067" spans="2:3" ht="18">
      <c r="B1067" s="5" t="s">
        <v>90</v>
      </c>
      <c r="C1067" s="10">
        <f>2697+2696+5137+3225+2713+2969+5257+2586+5554</f>
        <v>32834</v>
      </c>
    </row>
    <row r="1068" spans="2:3" ht="18">
      <c r="B1068" s="5" t="s">
        <v>91</v>
      </c>
      <c r="C1068" s="10">
        <f>5601</f>
        <v>5601</v>
      </c>
    </row>
    <row r="1069" spans="2:3" ht="18">
      <c r="B1069" s="5" t="s">
        <v>88</v>
      </c>
      <c r="C1069" s="10">
        <f>33+33+66+78+33+56+22+45+45+33+67</f>
        <v>511</v>
      </c>
    </row>
    <row r="1070" spans="2:3" ht="18">
      <c r="B1070" s="5" t="s">
        <v>89</v>
      </c>
      <c r="C1070" s="10">
        <f>2549+1274+1274+2549</f>
        <v>7646</v>
      </c>
    </row>
    <row r="1071" spans="2:3" ht="18">
      <c r="B1071" s="5" t="s">
        <v>92</v>
      </c>
      <c r="C1071" s="10">
        <f>487+173+530+358+184+184+184+551+505+184</f>
        <v>3340</v>
      </c>
    </row>
    <row r="1072" spans="2:3" ht="18">
      <c r="B1072" s="5" t="s">
        <v>93</v>
      </c>
      <c r="C1072" s="10">
        <f>1061+1591</f>
        <v>2652</v>
      </c>
    </row>
    <row r="1073" spans="2:3" ht="18">
      <c r="B1073" s="5" t="s">
        <v>94</v>
      </c>
      <c r="C1073" s="10"/>
    </row>
    <row r="1074" ht="18">
      <c r="C1074" s="11">
        <f>SUM(C1042:C1072)</f>
        <v>707761</v>
      </c>
    </row>
    <row r="1075" spans="1:7" ht="20.25">
      <c r="A1075" s="4" t="s">
        <v>206</v>
      </c>
      <c r="B1075" s="14" t="s">
        <v>8</v>
      </c>
      <c r="D1075" s="11">
        <v>120921.96</v>
      </c>
      <c r="F1075" s="12"/>
      <c r="G1075" s="12"/>
    </row>
    <row r="1076" spans="1:3" ht="18">
      <c r="A1076" s="4" t="s">
        <v>280</v>
      </c>
      <c r="B1076" s="8" t="s">
        <v>85</v>
      </c>
      <c r="C1076" s="10">
        <f>682</f>
        <v>682</v>
      </c>
    </row>
    <row r="1077" spans="1:3" ht="18">
      <c r="A1077" s="4" t="s">
        <v>281</v>
      </c>
      <c r="B1077" s="8" t="s">
        <v>170</v>
      </c>
      <c r="C1077" s="10"/>
    </row>
    <row r="1078" spans="2:3" ht="18">
      <c r="B1078" s="5" t="s">
        <v>124</v>
      </c>
      <c r="C1078" s="10"/>
    </row>
    <row r="1079" spans="2:3" ht="18">
      <c r="B1079" s="5" t="s">
        <v>105</v>
      </c>
      <c r="C1079" s="10"/>
    </row>
    <row r="1080" spans="2:3" ht="18">
      <c r="B1080" s="5" t="s">
        <v>423</v>
      </c>
      <c r="C1080" s="10">
        <f>3026+7846</f>
        <v>10872</v>
      </c>
    </row>
    <row r="1081" spans="2:3" ht="18">
      <c r="B1081" s="8" t="s">
        <v>327</v>
      </c>
      <c r="C1081" s="10">
        <v>3244</v>
      </c>
    </row>
    <row r="1082" ht="18">
      <c r="B1082" s="8"/>
    </row>
    <row r="1083" spans="2:3" ht="18">
      <c r="B1083" s="5" t="s">
        <v>71</v>
      </c>
      <c r="C1083" s="10">
        <f>7000</f>
        <v>7000</v>
      </c>
    </row>
    <row r="1084" spans="2:3" ht="18">
      <c r="B1084" s="5" t="s">
        <v>69</v>
      </c>
      <c r="C1084" s="10"/>
    </row>
    <row r="1085" spans="2:3" ht="18">
      <c r="B1085" s="5" t="s">
        <v>98</v>
      </c>
      <c r="C1085" s="10"/>
    </row>
    <row r="1086" spans="2:3" ht="18">
      <c r="B1086" s="5" t="s">
        <v>74</v>
      </c>
      <c r="C1086" s="10">
        <f>6252+8546</f>
        <v>14798</v>
      </c>
    </row>
    <row r="1087" spans="2:3" ht="18">
      <c r="B1087" s="5" t="s">
        <v>153</v>
      </c>
      <c r="C1087" s="10">
        <f>4163</f>
        <v>4163</v>
      </c>
    </row>
    <row r="1088" spans="2:3" ht="18">
      <c r="B1088" s="5" t="s">
        <v>73</v>
      </c>
      <c r="C1088" s="10"/>
    </row>
    <row r="1089" spans="2:3" ht="18">
      <c r="B1089" s="5" t="s">
        <v>127</v>
      </c>
      <c r="C1089" s="10">
        <f>6401</f>
        <v>6401</v>
      </c>
    </row>
    <row r="1091" spans="2:3" ht="18">
      <c r="B1091" s="5" t="s">
        <v>90</v>
      </c>
      <c r="C1091" s="10">
        <f>2696+3208+2713+2713</f>
        <v>11330</v>
      </c>
    </row>
    <row r="1092" spans="2:3" ht="18">
      <c r="B1092" s="5" t="s">
        <v>91</v>
      </c>
      <c r="C1092" s="10"/>
    </row>
    <row r="1093" spans="2:3" ht="18">
      <c r="B1093" s="5" t="s">
        <v>88</v>
      </c>
      <c r="C1093" s="10">
        <f>33+77+33+33</f>
        <v>176</v>
      </c>
    </row>
    <row r="1094" spans="2:3" ht="18">
      <c r="B1094" s="5" t="s">
        <v>89</v>
      </c>
      <c r="C1094" s="10">
        <f>2531</f>
        <v>2531</v>
      </c>
    </row>
    <row r="1095" spans="2:3" ht="18">
      <c r="B1095" s="5" t="s">
        <v>92</v>
      </c>
      <c r="C1095" s="10">
        <f>759+759+367+281+742+184+742</f>
        <v>3834</v>
      </c>
    </row>
    <row r="1096" spans="2:3" ht="18">
      <c r="B1096" s="5" t="s">
        <v>93</v>
      </c>
      <c r="C1096" s="10"/>
    </row>
    <row r="1097" spans="2:3" ht="18">
      <c r="B1097" s="5" t="s">
        <v>94</v>
      </c>
      <c r="C1097" s="10"/>
    </row>
    <row r="1098" ht="18">
      <c r="C1098" s="11">
        <f>SUM(C1076:C1096)</f>
        <v>65031</v>
      </c>
    </row>
    <row r="1099" spans="1:7" ht="20.25">
      <c r="A1099" s="4" t="s">
        <v>200</v>
      </c>
      <c r="B1099" s="14" t="s">
        <v>4</v>
      </c>
      <c r="D1099" s="11">
        <v>369272.25</v>
      </c>
      <c r="F1099" s="12"/>
      <c r="G1099" s="12"/>
    </row>
    <row r="1100" spans="1:3" ht="18">
      <c r="A1100" s="4" t="s">
        <v>282</v>
      </c>
      <c r="B1100" s="5" t="s">
        <v>159</v>
      </c>
      <c r="C1100" s="10"/>
    </row>
    <row r="1101" spans="1:3" ht="18">
      <c r="A1101" s="4" t="s">
        <v>283</v>
      </c>
      <c r="B1101" s="8" t="s">
        <v>455</v>
      </c>
      <c r="C1101" s="10">
        <f>1181+2007+1204</f>
        <v>4392</v>
      </c>
    </row>
    <row r="1102" spans="2:3" ht="18">
      <c r="B1102" s="8" t="s">
        <v>456</v>
      </c>
      <c r="C1102" s="10">
        <f>8527+6526+5916</f>
        <v>20969</v>
      </c>
    </row>
    <row r="1103" spans="2:3" ht="18">
      <c r="B1103" s="5" t="s">
        <v>124</v>
      </c>
      <c r="C1103" s="10">
        <f>1100+1100</f>
        <v>2200</v>
      </c>
    </row>
    <row r="1104" spans="2:3" ht="18">
      <c r="B1104" s="5" t="s">
        <v>139</v>
      </c>
      <c r="C1104" s="10"/>
    </row>
    <row r="1105" spans="2:3" ht="18">
      <c r="B1105" s="5" t="s">
        <v>157</v>
      </c>
      <c r="C1105" s="10">
        <f>8518</f>
        <v>8518</v>
      </c>
    </row>
    <row r="1106" spans="2:3" ht="18">
      <c r="B1106" s="5" t="s">
        <v>164</v>
      </c>
      <c r="C1106" s="10"/>
    </row>
    <row r="1107" spans="2:3" ht="18">
      <c r="B1107" s="5" t="s">
        <v>305</v>
      </c>
      <c r="C1107" s="10">
        <f>1953</f>
        <v>1953</v>
      </c>
    </row>
    <row r="1108" spans="2:3" ht="18">
      <c r="B1108" s="5" t="s">
        <v>382</v>
      </c>
      <c r="C1108" s="10">
        <f>17235+33591</f>
        <v>50826</v>
      </c>
    </row>
    <row r="1109" spans="2:3" ht="18">
      <c r="B1109" s="5" t="s">
        <v>410</v>
      </c>
      <c r="C1109" s="10">
        <f>4407</f>
        <v>4407</v>
      </c>
    </row>
    <row r="1110" spans="2:3" ht="18">
      <c r="B1110" s="5" t="s">
        <v>451</v>
      </c>
      <c r="C1110" s="10">
        <f>3658</f>
        <v>3658</v>
      </c>
    </row>
    <row r="1111" spans="2:3" ht="18">
      <c r="B1111" s="8" t="s">
        <v>85</v>
      </c>
      <c r="C1111" s="10">
        <f>1554+1555+2986+733+3318+2868</f>
        <v>13014</v>
      </c>
    </row>
    <row r="1112" ht="20.25">
      <c r="B1112" s="16"/>
    </row>
    <row r="1113" spans="2:3" ht="18">
      <c r="B1113" s="5" t="s">
        <v>71</v>
      </c>
      <c r="C1113" s="10">
        <f>1102+2204+1174+1174+587+2935+2348+3976</f>
        <v>15500</v>
      </c>
    </row>
    <row r="1114" spans="2:3" ht="18">
      <c r="B1114" s="5" t="s">
        <v>69</v>
      </c>
      <c r="C1114" s="10">
        <f>398+1193+3553</f>
        <v>5144</v>
      </c>
    </row>
    <row r="1115" spans="2:3" ht="18">
      <c r="B1115" s="5" t="s">
        <v>73</v>
      </c>
      <c r="C1115" s="10">
        <f>9472+634+1599</f>
        <v>11705</v>
      </c>
    </row>
    <row r="1116" spans="2:3" ht="18">
      <c r="B1116" s="5" t="s">
        <v>153</v>
      </c>
      <c r="C1116" s="10">
        <f>3063+735+2106+2858+2685</f>
        <v>11447</v>
      </c>
    </row>
    <row r="1117" spans="2:3" ht="18">
      <c r="B1117" s="5" t="s">
        <v>12</v>
      </c>
      <c r="C1117" s="10">
        <f>8202</f>
        <v>8202</v>
      </c>
    </row>
    <row r="1118" spans="2:3" ht="18">
      <c r="B1118" s="5" t="s">
        <v>74</v>
      </c>
      <c r="C1118" s="10">
        <f>7263+3298+18992+4247</f>
        <v>33800</v>
      </c>
    </row>
    <row r="1119" spans="2:3" ht="18">
      <c r="B1119" s="5" t="s">
        <v>127</v>
      </c>
      <c r="C1119" s="10">
        <f>21121</f>
        <v>21121</v>
      </c>
    </row>
    <row r="1121" spans="2:3" ht="18">
      <c r="B1121" s="5" t="s">
        <v>90</v>
      </c>
      <c r="C1121" s="10">
        <f>5393+3335+2952+5427+8140+2713+5682</f>
        <v>33642</v>
      </c>
    </row>
    <row r="1122" spans="2:3" ht="18">
      <c r="B1122" s="5" t="s">
        <v>91</v>
      </c>
      <c r="C1122" s="10">
        <f>5017+5514</f>
        <v>10531</v>
      </c>
    </row>
    <row r="1123" spans="2:3" ht="18">
      <c r="B1123" s="5" t="s">
        <v>88</v>
      </c>
      <c r="C1123" s="10">
        <f>55+66+33+33+67+22+100+33+111</f>
        <v>520</v>
      </c>
    </row>
    <row r="1124" spans="2:3" ht="18">
      <c r="B1124" s="5" t="s">
        <v>89</v>
      </c>
      <c r="C1124" s="10">
        <f>1266+1274+2549</f>
        <v>5089</v>
      </c>
    </row>
    <row r="1125" spans="2:3" ht="18">
      <c r="B1125" s="5" t="s">
        <v>92</v>
      </c>
      <c r="C1125" s="10">
        <f>216+696+1104+555+371+184+643+926+1155</f>
        <v>5850</v>
      </c>
    </row>
    <row r="1126" spans="2:3" ht="18">
      <c r="B1126" s="5" t="s">
        <v>93</v>
      </c>
      <c r="C1126" s="10">
        <f>2638+1061+530</f>
        <v>4229</v>
      </c>
    </row>
    <row r="1127" spans="2:3" ht="18">
      <c r="B1127" s="5" t="s">
        <v>94</v>
      </c>
      <c r="C1127" s="10"/>
    </row>
    <row r="1128" ht="18">
      <c r="C1128" s="11">
        <f>SUM(C1100:C1125)</f>
        <v>272488</v>
      </c>
    </row>
    <row r="1129" spans="1:7" ht="20.25">
      <c r="A1129" s="4" t="s">
        <v>240</v>
      </c>
      <c r="B1129" s="14" t="s">
        <v>2</v>
      </c>
      <c r="D1129" s="11">
        <v>207483.64</v>
      </c>
      <c r="F1129" s="12"/>
      <c r="G1129" s="12"/>
    </row>
    <row r="1130" spans="1:3" ht="18">
      <c r="A1130" s="4" t="s">
        <v>284</v>
      </c>
      <c r="B1130" s="5" t="s">
        <v>85</v>
      </c>
      <c r="C1130" s="10">
        <f>896</f>
        <v>896</v>
      </c>
    </row>
    <row r="1131" spans="1:3" ht="18">
      <c r="A1131" s="4" t="s">
        <v>285</v>
      </c>
      <c r="B1131" s="5" t="s">
        <v>170</v>
      </c>
      <c r="C1131" s="10"/>
    </row>
    <row r="1132" spans="2:3" ht="18">
      <c r="B1132" s="5" t="s">
        <v>107</v>
      </c>
      <c r="C1132" s="10"/>
    </row>
    <row r="1133" spans="2:3" ht="18">
      <c r="B1133" s="5" t="s">
        <v>124</v>
      </c>
      <c r="C1133" s="10"/>
    </row>
    <row r="1134" spans="2:3" ht="18">
      <c r="B1134" s="5" t="s">
        <v>145</v>
      </c>
      <c r="C1134" s="10">
        <f>2839</f>
        <v>2839</v>
      </c>
    </row>
    <row r="1136" spans="2:3" ht="18">
      <c r="B1136" s="5" t="s">
        <v>71</v>
      </c>
      <c r="C1136" s="10">
        <f>1102+4425+1102+15905+587+1174+3522+1174</f>
        <v>28991</v>
      </c>
    </row>
    <row r="1137" spans="2:3" ht="18">
      <c r="B1137" s="5" t="s">
        <v>69</v>
      </c>
      <c r="C1137" s="10">
        <f>3363+398</f>
        <v>3761</v>
      </c>
    </row>
    <row r="1138" spans="2:3" ht="18">
      <c r="B1138" s="5" t="s">
        <v>74</v>
      </c>
      <c r="C1138" s="10">
        <f>6207+4574+814+8880</f>
        <v>20475</v>
      </c>
    </row>
    <row r="1139" spans="2:3" ht="18">
      <c r="B1139" s="5" t="s">
        <v>73</v>
      </c>
      <c r="C1139" s="10">
        <f>10118+32265</f>
        <v>42383</v>
      </c>
    </row>
    <row r="1140" spans="2:3" ht="18">
      <c r="B1140" s="5" t="s">
        <v>350</v>
      </c>
      <c r="C1140" s="10">
        <f>3022+857+643+2498</f>
        <v>7020</v>
      </c>
    </row>
    <row r="1141" spans="2:3" ht="18">
      <c r="B1141" s="5" t="s">
        <v>12</v>
      </c>
      <c r="C1141" s="10">
        <f>4095</f>
        <v>4095</v>
      </c>
    </row>
    <row r="1142" spans="2:3" ht="18">
      <c r="B1142" s="5" t="s">
        <v>98</v>
      </c>
      <c r="C1142" s="10"/>
    </row>
    <row r="1143" spans="2:3" ht="18">
      <c r="B1143" s="5" t="s">
        <v>127</v>
      </c>
      <c r="C1143" s="10">
        <v>10648</v>
      </c>
    </row>
    <row r="1145" spans="2:3" ht="18">
      <c r="B1145" s="5" t="s">
        <v>90</v>
      </c>
      <c r="C1145" s="10">
        <f>5521+2713+5427+2713+2713+2713+5682</f>
        <v>27482</v>
      </c>
    </row>
    <row r="1146" spans="2:3" ht="18">
      <c r="B1146" s="5" t="s">
        <v>91</v>
      </c>
      <c r="C1146" s="10"/>
    </row>
    <row r="1147" spans="2:3" ht="18">
      <c r="B1147" s="5" t="s">
        <v>88</v>
      </c>
      <c r="C1147" s="10">
        <f>66+33+67+33+33+33+111</f>
        <v>376</v>
      </c>
    </row>
    <row r="1148" spans="2:3" ht="18">
      <c r="B1148" s="5" t="s">
        <v>142</v>
      </c>
      <c r="C1148" s="10">
        <f>2549</f>
        <v>2549</v>
      </c>
    </row>
    <row r="1149" spans="2:3" ht="18">
      <c r="B1149" s="5" t="s">
        <v>92</v>
      </c>
      <c r="C1149" s="10">
        <f>345+573+555+322+276+230+276+230</f>
        <v>2807</v>
      </c>
    </row>
    <row r="1150" spans="2:3" ht="18">
      <c r="B1150" s="5" t="s">
        <v>93</v>
      </c>
      <c r="C1150" s="10"/>
    </row>
    <row r="1151" spans="2:3" ht="18">
      <c r="B1151" s="5" t="s">
        <v>94</v>
      </c>
      <c r="C1151" s="10"/>
    </row>
    <row r="1152" ht="18">
      <c r="C1152" s="11">
        <f>SUM(C1131:C1150)</f>
        <v>153426</v>
      </c>
    </row>
    <row r="1153" spans="1:7" ht="20.25">
      <c r="A1153" s="4" t="s">
        <v>240</v>
      </c>
      <c r="B1153" s="14" t="s">
        <v>15</v>
      </c>
      <c r="D1153" s="11">
        <v>367820.2</v>
      </c>
      <c r="F1153" s="12"/>
      <c r="G1153" s="12"/>
    </row>
    <row r="1154" spans="1:3" ht="18">
      <c r="A1154" s="4" t="s">
        <v>58</v>
      </c>
      <c r="B1154" s="5" t="s">
        <v>83</v>
      </c>
      <c r="C1154" s="10">
        <f>1204</f>
        <v>1204</v>
      </c>
    </row>
    <row r="1155" spans="1:3" ht="18">
      <c r="A1155" s="4" t="s">
        <v>286</v>
      </c>
      <c r="B1155" s="5" t="s">
        <v>172</v>
      </c>
      <c r="C1155" s="10"/>
    </row>
    <row r="1156" spans="2:3" ht="18">
      <c r="B1156" s="5" t="s">
        <v>325</v>
      </c>
      <c r="C1156" s="10">
        <f>1236+907</f>
        <v>2143</v>
      </c>
    </row>
    <row r="1157" spans="2:3" ht="18">
      <c r="B1157" s="5" t="s">
        <v>367</v>
      </c>
      <c r="C1157" s="10"/>
    </row>
    <row r="1158" spans="2:3" ht="18">
      <c r="B1158" s="5" t="s">
        <v>145</v>
      </c>
      <c r="C1158" s="10">
        <f>8518</f>
        <v>8518</v>
      </c>
    </row>
    <row r="1159" spans="2:3" ht="18">
      <c r="B1159" s="5" t="s">
        <v>164</v>
      </c>
      <c r="C1159" s="10"/>
    </row>
    <row r="1160" spans="2:3" ht="18">
      <c r="B1160" s="5" t="s">
        <v>302</v>
      </c>
      <c r="C1160" s="10"/>
    </row>
    <row r="1161" spans="2:3" ht="18">
      <c r="B1161" s="8" t="s">
        <v>444</v>
      </c>
      <c r="C1161" s="10">
        <f>1375</f>
        <v>1375</v>
      </c>
    </row>
    <row r="1162" spans="2:3" ht="18">
      <c r="B1162" s="5" t="s">
        <v>379</v>
      </c>
      <c r="C1162" s="10">
        <f>144871</f>
        <v>144871</v>
      </c>
    </row>
    <row r="1163" spans="2:3" ht="18">
      <c r="B1163" s="5" t="s">
        <v>124</v>
      </c>
      <c r="C1163" s="10">
        <f>1100+1100+3318</f>
        <v>5518</v>
      </c>
    </row>
    <row r="1164" spans="2:3" ht="18">
      <c r="B1164" s="5" t="s">
        <v>438</v>
      </c>
      <c r="C1164" s="10">
        <f>2202</f>
        <v>2202</v>
      </c>
    </row>
    <row r="1165" spans="2:3" ht="18">
      <c r="B1165" s="5" t="s">
        <v>9</v>
      </c>
      <c r="C1165" s="10"/>
    </row>
    <row r="1166" spans="2:3" ht="18">
      <c r="B1166" s="5" t="s">
        <v>85</v>
      </c>
      <c r="C1166" s="10">
        <f>1554+1554+2986+733</f>
        <v>6827</v>
      </c>
    </row>
    <row r="1168" spans="2:3" ht="18">
      <c r="B1168" s="5" t="s">
        <v>71</v>
      </c>
      <c r="C1168" s="10">
        <f>1102+3306+2802+909+7458+1174+6284+43783+1174</f>
        <v>67992</v>
      </c>
    </row>
    <row r="1169" spans="2:3" ht="18">
      <c r="B1169" s="5" t="s">
        <v>69</v>
      </c>
      <c r="C1169" s="10">
        <f>7678+1514+1988</f>
        <v>11180</v>
      </c>
    </row>
    <row r="1170" spans="2:3" ht="18">
      <c r="B1170" s="5" t="s">
        <v>78</v>
      </c>
      <c r="C1170" s="10"/>
    </row>
    <row r="1171" spans="2:3" ht="18">
      <c r="B1171" s="5" t="s">
        <v>12</v>
      </c>
      <c r="C1171" s="10"/>
    </row>
    <row r="1172" spans="2:3" ht="18">
      <c r="B1172" s="5" t="s">
        <v>154</v>
      </c>
      <c r="C1172" s="10">
        <f>3781+6665</f>
        <v>10446</v>
      </c>
    </row>
    <row r="1173" spans="2:3" ht="18">
      <c r="B1173" s="5" t="s">
        <v>418</v>
      </c>
      <c r="C1173" s="10">
        <f>857</f>
        <v>857</v>
      </c>
    </row>
    <row r="1174" spans="2:3" ht="18">
      <c r="B1174" s="5" t="s">
        <v>153</v>
      </c>
      <c r="C1174" s="10">
        <f>1342+4846</f>
        <v>6188</v>
      </c>
    </row>
    <row r="1175" spans="2:3" ht="18">
      <c r="B1175" s="5" t="s">
        <v>74</v>
      </c>
      <c r="C1175" s="10">
        <f>6258+1019+1991</f>
        <v>9268</v>
      </c>
    </row>
    <row r="1176" spans="2:3" ht="18">
      <c r="B1176" s="5" t="s">
        <v>79</v>
      </c>
      <c r="C1176" s="10"/>
    </row>
    <row r="1177" spans="2:3" ht="18">
      <c r="B1177" s="5" t="s">
        <v>127</v>
      </c>
      <c r="C1177" s="10">
        <f>19179</f>
        <v>19179</v>
      </c>
    </row>
    <row r="1179" spans="2:3" ht="18">
      <c r="B1179" s="5" t="s">
        <v>90</v>
      </c>
      <c r="C1179" s="10">
        <f>5648+8090+2969+5427+2713+2713+5810+8140+2713</f>
        <v>44223</v>
      </c>
    </row>
    <row r="1180" spans="2:3" ht="18">
      <c r="B1180" s="5" t="s">
        <v>91</v>
      </c>
      <c r="C1180" s="10">
        <f>5514</f>
        <v>5514</v>
      </c>
    </row>
    <row r="1181" spans="2:3" ht="18">
      <c r="B1181" s="5" t="s">
        <v>88</v>
      </c>
      <c r="C1181" s="10">
        <f>88+99+56+6733+33+111+100+33</f>
        <v>7253</v>
      </c>
    </row>
    <row r="1182" spans="2:3" ht="18">
      <c r="B1182" s="5" t="s">
        <v>89</v>
      </c>
      <c r="C1182" s="10">
        <f>1266+1274+2549</f>
        <v>5089</v>
      </c>
    </row>
    <row r="1183" spans="2:3" ht="18">
      <c r="B1183" s="5" t="s">
        <v>92</v>
      </c>
      <c r="C1183" s="10">
        <f>371+184+367+371</f>
        <v>1293</v>
      </c>
    </row>
    <row r="1184" spans="2:3" ht="18">
      <c r="B1184" s="5" t="s">
        <v>93</v>
      </c>
      <c r="C1184" s="10"/>
    </row>
    <row r="1185" spans="2:3" ht="18">
      <c r="B1185" s="5" t="s">
        <v>100</v>
      </c>
      <c r="C1185" s="10"/>
    </row>
    <row r="1186" spans="2:3" ht="18">
      <c r="B1186" s="5" t="s">
        <v>94</v>
      </c>
      <c r="C1186" s="10"/>
    </row>
    <row r="1187" ht="18">
      <c r="C1187" s="11">
        <f>SUM(C1154:C1185)</f>
        <v>361140</v>
      </c>
    </row>
    <row r="1188" spans="1:7" ht="20.25">
      <c r="A1188" s="4" t="s">
        <v>240</v>
      </c>
      <c r="B1188" s="14" t="s">
        <v>50</v>
      </c>
      <c r="D1188" s="11">
        <v>121976.13</v>
      </c>
      <c r="F1188" s="12"/>
      <c r="G1188" s="12"/>
    </row>
    <row r="1189" spans="1:3" ht="18">
      <c r="A1189" s="4" t="s">
        <v>62</v>
      </c>
      <c r="B1189" s="8" t="s">
        <v>174</v>
      </c>
      <c r="C1189" s="10"/>
    </row>
    <row r="1190" spans="1:3" ht="18">
      <c r="A1190" s="4" t="s">
        <v>287</v>
      </c>
      <c r="B1190" s="5" t="s">
        <v>85</v>
      </c>
      <c r="C1190" s="10"/>
    </row>
    <row r="1191" spans="2:3" ht="18">
      <c r="B1191" s="5" t="s">
        <v>124</v>
      </c>
      <c r="C1191" s="10"/>
    </row>
    <row r="1192" spans="2:3" ht="18">
      <c r="B1192" s="5" t="s">
        <v>409</v>
      </c>
      <c r="C1192" s="10">
        <v>112144</v>
      </c>
    </row>
    <row r="1193" spans="2:3" ht="18">
      <c r="B1193" s="8" t="s">
        <v>145</v>
      </c>
      <c r="C1193" s="10"/>
    </row>
    <row r="1194" ht="20.25">
      <c r="B1194" s="14"/>
    </row>
    <row r="1195" spans="2:3" ht="18">
      <c r="B1195" s="5" t="s">
        <v>71</v>
      </c>
      <c r="C1195" s="10">
        <f>551+387+21201+1174+2348</f>
        <v>25661</v>
      </c>
    </row>
    <row r="1196" spans="2:3" ht="18">
      <c r="B1196" s="5" t="s">
        <v>69</v>
      </c>
      <c r="C1196" s="10">
        <f>1970+1193</f>
        <v>3163</v>
      </c>
    </row>
    <row r="1197" spans="2:3" ht="18">
      <c r="B1197" s="5" t="s">
        <v>74</v>
      </c>
      <c r="C1197" s="10"/>
    </row>
    <row r="1198" spans="2:3" ht="18">
      <c r="B1198" s="5" t="s">
        <v>72</v>
      </c>
      <c r="C1198" s="10">
        <f>3942</f>
        <v>3942</v>
      </c>
    </row>
    <row r="1199" spans="2:3" ht="18">
      <c r="B1199" s="5" t="s">
        <v>434</v>
      </c>
      <c r="C1199" s="10">
        <f>882+2684+1013</f>
        <v>4579</v>
      </c>
    </row>
    <row r="1200" spans="2:3" ht="18">
      <c r="B1200" s="5" t="s">
        <v>472</v>
      </c>
      <c r="C1200" s="10">
        <f>3781+6656</f>
        <v>10437</v>
      </c>
    </row>
    <row r="1201" spans="2:3" ht="18">
      <c r="B1201" s="5" t="s">
        <v>81</v>
      </c>
      <c r="C1201" s="10">
        <f>4925</f>
        <v>4925</v>
      </c>
    </row>
    <row r="1202" spans="2:3" ht="18">
      <c r="B1202" s="5" t="s">
        <v>127</v>
      </c>
      <c r="C1202" s="10">
        <f>6030</f>
        <v>6030</v>
      </c>
    </row>
    <row r="1204" spans="2:3" ht="18">
      <c r="B1204" s="5" t="s">
        <v>90</v>
      </c>
      <c r="C1204" s="10">
        <f>2696+2997+2697+7992+5427+2969</f>
        <v>24778</v>
      </c>
    </row>
    <row r="1205" spans="2:3" ht="18">
      <c r="B1205" s="5" t="s">
        <v>91</v>
      </c>
      <c r="C1205" s="10"/>
    </row>
    <row r="1206" spans="2:3" ht="18">
      <c r="B1206" s="5" t="s">
        <v>88</v>
      </c>
      <c r="C1206" s="10">
        <f>33+33+33+89+67+56</f>
        <v>311</v>
      </c>
    </row>
    <row r="1207" spans="2:3" ht="18">
      <c r="B1207" s="5" t="s">
        <v>89</v>
      </c>
      <c r="C1207" s="10">
        <f>2697+1274</f>
        <v>3971</v>
      </c>
    </row>
    <row r="1208" spans="2:3" ht="18">
      <c r="B1208" s="5" t="s">
        <v>92</v>
      </c>
      <c r="C1208" s="10">
        <f>184</f>
        <v>184</v>
      </c>
    </row>
    <row r="1209" spans="2:3" ht="18">
      <c r="B1209" s="5" t="s">
        <v>93</v>
      </c>
      <c r="C1209" s="10"/>
    </row>
    <row r="1210" spans="2:3" ht="18">
      <c r="B1210" s="5" t="s">
        <v>94</v>
      </c>
      <c r="C1210" s="10"/>
    </row>
    <row r="1211" ht="18">
      <c r="C1211" s="11">
        <f>SUM(C1189:C1209)</f>
        <v>200125</v>
      </c>
    </row>
    <row r="1212" spans="1:7" ht="20.25">
      <c r="A1212" s="4" t="s">
        <v>288</v>
      </c>
      <c r="B1212" s="14" t="s">
        <v>31</v>
      </c>
      <c r="D1212" s="11">
        <v>386464.79</v>
      </c>
      <c r="F1212" s="12"/>
      <c r="G1212" s="12"/>
    </row>
    <row r="1213" spans="1:3" ht="18">
      <c r="A1213" s="4" t="s">
        <v>289</v>
      </c>
      <c r="B1213" s="8" t="s">
        <v>170</v>
      </c>
      <c r="C1213" s="10"/>
    </row>
    <row r="1214" spans="1:3" ht="18">
      <c r="A1214" s="4" t="s">
        <v>290</v>
      </c>
      <c r="B1214" s="5" t="s">
        <v>85</v>
      </c>
      <c r="C1214" s="10">
        <f>1554+3099+682+1775+244+1106</f>
        <v>8460</v>
      </c>
    </row>
    <row r="1215" spans="2:3" ht="18">
      <c r="B1215" s="5" t="s">
        <v>124</v>
      </c>
      <c r="C1215" s="10">
        <f>1100+2201</f>
        <v>3301</v>
      </c>
    </row>
    <row r="1216" spans="2:3" ht="18">
      <c r="B1216" s="5" t="s">
        <v>384</v>
      </c>
      <c r="C1216" s="10">
        <f>8599+2735</f>
        <v>11334</v>
      </c>
    </row>
    <row r="1217" spans="2:3" ht="18">
      <c r="B1217" s="5" t="s">
        <v>454</v>
      </c>
      <c r="C1217" s="10">
        <f>6526</f>
        <v>6526</v>
      </c>
    </row>
    <row r="1218" spans="2:3" ht="18">
      <c r="B1218" s="5" t="s">
        <v>305</v>
      </c>
      <c r="C1218" s="10">
        <f>976</f>
        <v>976</v>
      </c>
    </row>
    <row r="1219" spans="2:3" ht="18">
      <c r="B1219" s="5" t="s">
        <v>408</v>
      </c>
      <c r="C1219" s="10">
        <f>133744+22541+81005</f>
        <v>237290</v>
      </c>
    </row>
    <row r="1220" ht="20.25">
      <c r="B1220" s="16"/>
    </row>
    <row r="1221" spans="2:3" ht="18">
      <c r="B1221" s="5" t="s">
        <v>71</v>
      </c>
      <c r="C1221" s="10">
        <f>1653+587+1342+1761+6457</f>
        <v>11800</v>
      </c>
    </row>
    <row r="1222" spans="2:3" ht="18">
      <c r="B1222" s="5" t="s">
        <v>69</v>
      </c>
      <c r="C1222" s="10">
        <f>1193+588+1723+1988</f>
        <v>5492</v>
      </c>
    </row>
    <row r="1223" spans="2:3" ht="18">
      <c r="B1223" s="5" t="s">
        <v>352</v>
      </c>
      <c r="C1223" s="10">
        <f>188</f>
        <v>188</v>
      </c>
    </row>
    <row r="1224" spans="2:3" ht="18">
      <c r="B1224" s="5" t="s">
        <v>73</v>
      </c>
      <c r="C1224" s="10">
        <f>2910+3856+133</f>
        <v>6899</v>
      </c>
    </row>
    <row r="1225" spans="2:3" ht="18">
      <c r="B1225" s="5" t="s">
        <v>74</v>
      </c>
      <c r="C1225" s="10">
        <f>2996</f>
        <v>2996</v>
      </c>
    </row>
    <row r="1226" spans="2:3" ht="18">
      <c r="B1226" s="5" t="s">
        <v>110</v>
      </c>
      <c r="C1226" s="10"/>
    </row>
    <row r="1227" spans="2:3" ht="18">
      <c r="B1227" s="5" t="s">
        <v>128</v>
      </c>
      <c r="C1227" s="10">
        <f>7562+13329</f>
        <v>20891</v>
      </c>
    </row>
    <row r="1228" spans="2:3" ht="18">
      <c r="B1228" s="5" t="s">
        <v>12</v>
      </c>
      <c r="C1228" s="10"/>
    </row>
    <row r="1229" spans="2:3" ht="18">
      <c r="B1229" s="5" t="s">
        <v>127</v>
      </c>
      <c r="C1229" s="10">
        <f>24331</f>
        <v>24331</v>
      </c>
    </row>
    <row r="1231" spans="2:3" ht="18">
      <c r="B1231" s="5" t="s">
        <v>90</v>
      </c>
      <c r="C1231" s="10">
        <f>2696+2696+2696+2969+2713+5682+5427+2969</f>
        <v>27848</v>
      </c>
    </row>
    <row r="1232" spans="2:3" ht="18">
      <c r="B1232" s="5" t="s">
        <v>91</v>
      </c>
      <c r="C1232" s="10"/>
    </row>
    <row r="1233" spans="2:3" ht="18">
      <c r="B1233" s="5" t="s">
        <v>88</v>
      </c>
      <c r="C1233" s="10">
        <f>33+33+33+56+78+111+67+33</f>
        <v>444</v>
      </c>
    </row>
    <row r="1234" spans="2:3" ht="18">
      <c r="B1234" s="5" t="s">
        <v>89</v>
      </c>
      <c r="C1234" s="10">
        <f>1274+2549+2549</f>
        <v>6372</v>
      </c>
    </row>
    <row r="1235" spans="2:3" ht="18">
      <c r="B1235" s="5" t="s">
        <v>92</v>
      </c>
      <c r="C1235" s="10">
        <f>431+263+91+509+594+274+417+1061+184+458+320</f>
        <v>4602</v>
      </c>
    </row>
    <row r="1236" spans="2:3" ht="18">
      <c r="B1236" s="5" t="s">
        <v>93</v>
      </c>
      <c r="C1236" s="10"/>
    </row>
    <row r="1237" spans="2:3" ht="18">
      <c r="B1237" s="5" t="s">
        <v>94</v>
      </c>
      <c r="C1237" s="10"/>
    </row>
    <row r="1238" ht="18">
      <c r="C1238" s="11">
        <f>SUM(C1213:C1236)</f>
        <v>379750</v>
      </c>
    </row>
    <row r="1239" spans="1:7" ht="20.25">
      <c r="A1239" s="4" t="s">
        <v>219</v>
      </c>
      <c r="B1239" s="14" t="s">
        <v>30</v>
      </c>
      <c r="D1239" s="11">
        <v>199226.92</v>
      </c>
      <c r="F1239" s="12"/>
      <c r="G1239" s="12"/>
    </row>
    <row r="1240" spans="1:3" ht="18">
      <c r="A1240" s="4" t="s">
        <v>291</v>
      </c>
      <c r="B1240" s="5" t="s">
        <v>175</v>
      </c>
      <c r="C1240" s="10"/>
    </row>
    <row r="1241" spans="1:3" ht="18">
      <c r="A1241" s="4" t="s">
        <v>292</v>
      </c>
      <c r="B1241" s="5" t="s">
        <v>159</v>
      </c>
      <c r="C1241" s="10"/>
    </row>
    <row r="1242" spans="2:3" ht="18">
      <c r="B1242" s="5" t="s">
        <v>85</v>
      </c>
      <c r="C1242" s="10">
        <f>1424</f>
        <v>1424</v>
      </c>
    </row>
    <row r="1243" spans="2:3" ht="18">
      <c r="B1243" s="5" t="s">
        <v>157</v>
      </c>
      <c r="C1243" s="10"/>
    </row>
    <row r="1244" spans="2:3" ht="18">
      <c r="B1244" s="5" t="s">
        <v>412</v>
      </c>
      <c r="C1244" s="10">
        <f>1493</f>
        <v>1493</v>
      </c>
    </row>
    <row r="1245" spans="2:3" ht="18">
      <c r="B1245" s="5" t="s">
        <v>124</v>
      </c>
      <c r="C1245" s="10"/>
    </row>
    <row r="1246" spans="2:3" ht="18">
      <c r="B1246" s="5" t="s">
        <v>378</v>
      </c>
      <c r="C1246" s="10">
        <f>27049</f>
        <v>27049</v>
      </c>
    </row>
    <row r="1248" spans="2:3" ht="18">
      <c r="B1248" s="5" t="s">
        <v>71</v>
      </c>
      <c r="C1248" s="10">
        <f>1761+3257</f>
        <v>5018</v>
      </c>
    </row>
    <row r="1249" spans="2:3" ht="18">
      <c r="B1249" s="5" t="s">
        <v>69</v>
      </c>
      <c r="C1249" s="10">
        <f>1182</f>
        <v>1182</v>
      </c>
    </row>
    <row r="1250" spans="2:3" ht="18">
      <c r="B1250" s="5" t="s">
        <v>73</v>
      </c>
      <c r="C1250" s="10"/>
    </row>
    <row r="1251" spans="2:3" ht="18">
      <c r="B1251" s="5" t="s">
        <v>432</v>
      </c>
      <c r="C1251" s="10">
        <f>4875+907</f>
        <v>5782</v>
      </c>
    </row>
    <row r="1252" spans="2:3" ht="18">
      <c r="B1252" s="5" t="s">
        <v>12</v>
      </c>
      <c r="C1252" s="10"/>
    </row>
    <row r="1253" spans="2:3" ht="18">
      <c r="B1253" s="5" t="s">
        <v>154</v>
      </c>
      <c r="C1253" s="10">
        <f>3781+6665</f>
        <v>10446</v>
      </c>
    </row>
    <row r="1254" spans="2:3" ht="18">
      <c r="B1254" s="5" t="s">
        <v>74</v>
      </c>
      <c r="C1254" s="10">
        <f>19396+2696</f>
        <v>22092</v>
      </c>
    </row>
    <row r="1255" spans="2:3" ht="18">
      <c r="B1255" s="5" t="s">
        <v>127</v>
      </c>
      <c r="C1255" s="10">
        <f>12498+2462</f>
        <v>14960</v>
      </c>
    </row>
    <row r="1257" spans="2:3" ht="18">
      <c r="B1257" s="5" t="s">
        <v>90</v>
      </c>
      <c r="C1257" s="10">
        <f>2969+2713</f>
        <v>5682</v>
      </c>
    </row>
    <row r="1258" spans="2:3" ht="18">
      <c r="B1258" s="5" t="s">
        <v>91</v>
      </c>
      <c r="C1258" s="10"/>
    </row>
    <row r="1259" spans="2:3" ht="18">
      <c r="B1259" s="5" t="s">
        <v>88</v>
      </c>
      <c r="C1259" s="10">
        <f>33+33</f>
        <v>66</v>
      </c>
    </row>
    <row r="1260" spans="2:3" ht="18">
      <c r="B1260" s="5" t="s">
        <v>89</v>
      </c>
      <c r="C1260" s="10"/>
    </row>
    <row r="1261" spans="2:3" ht="18">
      <c r="B1261" s="5" t="s">
        <v>92</v>
      </c>
      <c r="C1261" s="10">
        <f>173+368</f>
        <v>541</v>
      </c>
    </row>
    <row r="1262" spans="2:3" ht="18">
      <c r="B1262" s="5" t="s">
        <v>93</v>
      </c>
      <c r="C1262" s="10"/>
    </row>
    <row r="1263" spans="2:3" ht="18">
      <c r="B1263" s="5" t="s">
        <v>94</v>
      </c>
      <c r="C1263" s="10"/>
    </row>
    <row r="1264" ht="18">
      <c r="C1264" s="11">
        <f>SUM(C1240:C1262)</f>
        <v>95735</v>
      </c>
    </row>
    <row r="1265" spans="2:7" ht="20.25">
      <c r="B1265" s="14" t="s">
        <v>87</v>
      </c>
      <c r="F1265" s="21"/>
      <c r="G1265" s="21"/>
    </row>
    <row r="1267" spans="2:3" ht="18">
      <c r="B1267" s="5" t="s">
        <v>112</v>
      </c>
      <c r="C1267" s="10">
        <f>26901+22858+22858+15076+17751+20200+15076+17563+17563+20238+35127</f>
        <v>231211</v>
      </c>
    </row>
    <row r="1268" spans="2:3" ht="18">
      <c r="B1268" s="5" t="s">
        <v>86</v>
      </c>
      <c r="C1268" s="10">
        <f>20200</f>
        <v>20200</v>
      </c>
    </row>
    <row r="1271" ht="18">
      <c r="C1271" s="11">
        <f>SUM(C1267:C1269)+42500</f>
        <v>293911</v>
      </c>
    </row>
    <row r="1272" ht="18">
      <c r="B1272" s="11" t="s">
        <v>329</v>
      </c>
    </row>
    <row r="1274" ht="18">
      <c r="B1274" s="11" t="s">
        <v>328</v>
      </c>
    </row>
    <row r="1275" spans="2:6" ht="18">
      <c r="B1275" s="5" t="s">
        <v>419</v>
      </c>
      <c r="C1275" s="5">
        <f>C8+C28+C53+C98+C120+C148+C187+C209+C234+C266+C293+C321+C347+C371+C424+C449+C468+C513+C539+C569+C620+C652+C678+C707+C773+C799+C826+C853+C873+C899+C933+C963+C986+C1018+C1045+C1077+C1101+C1131+C1154+C1213</f>
        <v>119167</v>
      </c>
      <c r="E1275" s="11"/>
      <c r="F1275" s="3"/>
    </row>
    <row r="1276" spans="2:6" ht="18">
      <c r="B1276" s="5" t="s">
        <v>52</v>
      </c>
      <c r="C1276" s="5">
        <f>C7+C29+C49+C72+C100+C122+C150+C206+C231+C269+C291+C319+C343+C372+C400+C423+C467+C450+C506+C541+C564+C595+C619+C651+C681+C711+C745+C777+C796+C827+C871+C900+C940+C966+C988+C1023+C1042+C1076+C1111+C1130+C1166+C1190+C1214+C1242+1099</f>
        <v>127459</v>
      </c>
      <c r="E1276" s="11"/>
      <c r="F1276" s="3"/>
    </row>
    <row r="1277" spans="2:11" ht="18">
      <c r="B1277" s="5" t="s">
        <v>347</v>
      </c>
      <c r="C1277" s="5">
        <f>C155+C376+C399+C426</f>
        <v>14804</v>
      </c>
      <c r="E1277" s="11"/>
      <c r="F1277" s="3"/>
      <c r="G1277" s="6"/>
      <c r="H1277" s="6"/>
      <c r="K1277" s="5">
        <f>I1277-I1274</f>
        <v>0</v>
      </c>
    </row>
    <row r="1278" spans="2:6" ht="18">
      <c r="B1278" s="5" t="s">
        <v>51</v>
      </c>
      <c r="C1278" s="5">
        <f>C261+C401+C429+C476+C509+C1100+C1241</f>
        <v>15045</v>
      </c>
      <c r="E1278" s="11"/>
      <c r="F1278" s="3"/>
    </row>
    <row r="1279" spans="2:6" ht="18">
      <c r="B1279" s="5" t="s">
        <v>376</v>
      </c>
      <c r="C1279" s="5">
        <f>C124+C152+C236+C267+C427+C482+C516+C572+C592+C623+C714+C747+C771+C800+C828+C877+C906+C934+C935+C965+C994+C1052+C1105+C1134+C1158+C1193</f>
        <v>115936</v>
      </c>
      <c r="E1279" s="11"/>
      <c r="F1279" s="3"/>
    </row>
    <row r="1280" spans="2:6" ht="18">
      <c r="B1280" s="5" t="s">
        <v>108</v>
      </c>
      <c r="C1280" s="5">
        <f>C31+C50+C73+C151+C233+C264+C292+C298+C346+C378+C398+C420+C451+C469+C512+C543+C565+C621+C680+C743+C774+C830+C874+C901+C932+C961+C987+C1020+C1046+C1078+C1103+C1133+C1163+C1191+C1215+C1245</f>
        <v>71867</v>
      </c>
      <c r="E1280" s="11"/>
      <c r="F1280" s="3"/>
    </row>
    <row r="1281" spans="2:6" ht="18">
      <c r="B1281" s="5" t="s">
        <v>119</v>
      </c>
      <c r="C1281" s="5">
        <f>C655+C798+C1050</f>
        <v>668</v>
      </c>
      <c r="E1281" s="11"/>
      <c r="F1281" s="3"/>
    </row>
    <row r="1282" spans="2:6" ht="18">
      <c r="B1282" s="5" t="s">
        <v>450</v>
      </c>
      <c r="C1282" s="5">
        <f>C156+C230+C320+C345+C421+C470+C739+C936+C1043+C1110</f>
        <v>7953</v>
      </c>
      <c r="E1282" s="11"/>
      <c r="F1282" s="3"/>
    </row>
    <row r="1283" spans="2:6" ht="18">
      <c r="B1283" s="5" t="s">
        <v>332</v>
      </c>
      <c r="C1283" s="5">
        <f>C260</f>
        <v>0</v>
      </c>
      <c r="E1283" s="11"/>
      <c r="F1283" s="3"/>
    </row>
    <row r="1284" spans="2:6" ht="18">
      <c r="B1284" s="5" t="s">
        <v>56</v>
      </c>
      <c r="C1284" s="5">
        <f>C30+C74+C121+C207+C262+C740+C797+C825+C1019</f>
        <v>0</v>
      </c>
      <c r="E1284" s="11"/>
      <c r="F1284" s="3"/>
    </row>
    <row r="1285" spans="2:6" ht="18">
      <c r="B1285" s="5" t="s">
        <v>471</v>
      </c>
      <c r="C1285" s="5">
        <f>C119+C158+C237+C263+C296+C326+C348+C397+C474+C514+C537+C568+C617+C684+C710+C744+C776+C802+C823+C876+C905+C931+C991+C1016+C1049+C1102+C1165+C1217+C1240</f>
        <v>218336</v>
      </c>
      <c r="E1285" s="11"/>
      <c r="F1285" s="3"/>
    </row>
    <row r="1286" spans="2:6" ht="18">
      <c r="B1286" s="5" t="s">
        <v>348</v>
      </c>
      <c r="C1286" s="5">
        <f>C426+C475+C478+C518+C622+C742+C1048+C1156+2044</f>
        <v>13964</v>
      </c>
      <c r="E1286" s="11"/>
      <c r="F1286" s="3"/>
    </row>
    <row r="1287" spans="2:6" ht="18">
      <c r="B1287" s="5" t="s">
        <v>64</v>
      </c>
      <c r="C1287" s="5">
        <f>C1267+C1268+C1269+C515+11971+4404+4947</f>
        <v>286390</v>
      </c>
      <c r="E1287" s="11"/>
      <c r="F1287" s="3"/>
    </row>
    <row r="1288" spans="2:6" ht="18">
      <c r="B1288" s="5" t="s">
        <v>136</v>
      </c>
      <c r="C1288" s="5">
        <f>C127+C149+C239+C270+C349+C379+C428+C571+C686+C801+C831+C875+C908+C967+C1055+C1162+C1219+C1246+C596</f>
        <v>1457161</v>
      </c>
      <c r="E1288" s="11"/>
      <c r="F1288" s="3"/>
    </row>
    <row r="1289" spans="2:8" ht="18">
      <c r="B1289" s="8" t="s">
        <v>164</v>
      </c>
      <c r="C1289" s="5">
        <f>C52+C481+C1021+C1106+C1159</f>
        <v>370</v>
      </c>
      <c r="E1289" s="11"/>
      <c r="F1289" s="3"/>
      <c r="H1289" s="11"/>
    </row>
    <row r="1290" spans="2:6" ht="18">
      <c r="B1290" s="8" t="s">
        <v>167</v>
      </c>
      <c r="C1290" s="5">
        <f>C268+C544+C570+C656+C713</f>
        <v>2132</v>
      </c>
      <c r="E1290" s="11"/>
      <c r="F1290" s="3"/>
    </row>
    <row r="1291" spans="2:6" ht="18">
      <c r="B1291" s="5" t="s">
        <v>161</v>
      </c>
      <c r="C1291" s="5">
        <f>C99+C626+C829+C153+C903+C1157</f>
        <v>23412</v>
      </c>
      <c r="E1291" s="11"/>
      <c r="F1291" s="3"/>
    </row>
    <row r="1292" spans="2:5" ht="18">
      <c r="B1292" s="5" t="s">
        <v>377</v>
      </c>
      <c r="C1292" s="5">
        <f>C77+C374+C508+C593+C959+C993+C1047</f>
        <v>2929</v>
      </c>
      <c r="E1292" s="11"/>
    </row>
    <row r="1293" spans="2:6" ht="18">
      <c r="B1293" s="5" t="s">
        <v>298</v>
      </c>
      <c r="C1293" s="5">
        <f>C624</f>
        <v>0</v>
      </c>
      <c r="E1293" s="11"/>
      <c r="F1293" s="6"/>
    </row>
    <row r="1294" spans="2:6" ht="18">
      <c r="B1294" s="5" t="s">
        <v>106</v>
      </c>
      <c r="C1294" s="5">
        <f>C125+C425+C473+C628+C653+C682+C1160+31060</f>
        <v>42765</v>
      </c>
      <c r="E1294" s="11"/>
      <c r="F1294" s="6"/>
    </row>
    <row r="1295" spans="2:6" ht="18">
      <c r="B1295" s="5" t="s">
        <v>120</v>
      </c>
      <c r="C1295" s="5">
        <f>C75+C147+C159+C235+C323+C375+C479+C505+C517+C832+C960</f>
        <v>6581</v>
      </c>
      <c r="E1295" s="11"/>
      <c r="F1295" s="6"/>
    </row>
    <row r="1296" spans="2:3" ht="18">
      <c r="B1296" s="5" t="s">
        <v>65</v>
      </c>
      <c r="C1296" s="5">
        <f>C160+C161+C162+C163+C510+C511</f>
        <v>632504</v>
      </c>
    </row>
    <row r="1297" spans="2:3" ht="18">
      <c r="B1297" s="5" t="s">
        <v>309</v>
      </c>
      <c r="C1297" s="5">
        <f>C154+C480+C625+C685+C937+C990+C1054+C1080+C1107+C1218</f>
        <v>38149</v>
      </c>
    </row>
    <row r="1298" spans="2:4" ht="18">
      <c r="B1298" s="5" t="s">
        <v>144</v>
      </c>
      <c r="C1298" s="5">
        <f>C992</f>
        <v>1665</v>
      </c>
      <c r="D1298" s="5" t="s">
        <v>399</v>
      </c>
    </row>
    <row r="1299" spans="2:3" ht="18">
      <c r="B1299" s="5" t="s">
        <v>398</v>
      </c>
      <c r="C1299" s="5">
        <f>C477+C627+C803+C964</f>
        <v>10471</v>
      </c>
    </row>
    <row r="1300" spans="2:3" ht="18">
      <c r="B1300" s="5" t="s">
        <v>10</v>
      </c>
      <c r="C1300" s="5">
        <f>C51+C265+C471+C540+C679+C716+C741+C775+C907+C995+C1053+C1108+C1192+C1216+C1244</f>
        <v>488981</v>
      </c>
    </row>
    <row r="1301" spans="2:3" ht="18">
      <c r="B1301" s="5" t="s">
        <v>375</v>
      </c>
      <c r="C1301" s="5">
        <f>C210</f>
        <v>509</v>
      </c>
    </row>
    <row r="1302" spans="2:3" ht="18">
      <c r="B1302" s="5" t="s">
        <v>385</v>
      </c>
      <c r="C1302" s="5">
        <f>C297</f>
        <v>10346</v>
      </c>
    </row>
    <row r="1303" spans="2:3" ht="18">
      <c r="B1303" s="5" t="s">
        <v>179</v>
      </c>
      <c r="C1303" s="5">
        <f>C232+C422+C472+C715+C1109</f>
        <v>15940</v>
      </c>
    </row>
    <row r="1304" spans="2:3" ht="18">
      <c r="B1304" s="5" t="s">
        <v>397</v>
      </c>
      <c r="C1304" s="5">
        <f>C657+C938</f>
        <v>24505</v>
      </c>
    </row>
    <row r="1305" spans="2:3" ht="18">
      <c r="B1305" s="8" t="s">
        <v>444</v>
      </c>
      <c r="C1305" s="5">
        <f>C164+C746+C909+C1051+C1161</f>
        <v>10313</v>
      </c>
    </row>
    <row r="1306" spans="2:3" ht="18">
      <c r="B1306" s="8" t="s">
        <v>327</v>
      </c>
      <c r="C1306" s="5">
        <f>C10+C32+C54+C101+C188+C211+C630+C659+C804+C854+C1081</f>
        <v>35684</v>
      </c>
    </row>
    <row r="1307" ht="18">
      <c r="C1307" s="11">
        <f>SUM(C1275:C1306)</f>
        <v>3796006</v>
      </c>
    </row>
    <row r="1309" ht="18">
      <c r="B1309" s="11" t="s">
        <v>330</v>
      </c>
    </row>
    <row r="1310" spans="2:6" ht="18">
      <c r="B1310" s="5" t="s">
        <v>26</v>
      </c>
      <c r="C1310" s="5">
        <f>C12+C34+C56+C80+C103+C129+C167+C190+C214+C241+C272+C300+C328+C353+C381+C403+C431+C454+C484+C520+C546+C574+C598+C632+C661+C689+C719+C749+C779+C806+C835+C856+C879+C912+C943+C969+C999+C1025+C1058+C1083+C1113+C1136+C1168+C1195+C1221+C1248</f>
        <v>567215</v>
      </c>
      <c r="E1310" s="11"/>
      <c r="F1310" s="3"/>
    </row>
    <row r="1311" spans="2:6" ht="18">
      <c r="B1311" s="5" t="s">
        <v>63</v>
      </c>
      <c r="C1311" s="5">
        <f>C13+C35+C57+C81+C104+C130+C168+C191+C242+C273+C301+C329+C354+C382+C404+C432+C485+C521+C547+C575+C603+C633+C662+C690+C720+C750+C780+C807+C836+C857+C880+C913+C944+C970+C1000+C1026+C1059+C1084+C1114+C1137+C1169+C1196+C1222+C1249</f>
        <v>598616</v>
      </c>
      <c r="E1311" s="11"/>
      <c r="F1311" s="3"/>
    </row>
    <row r="1312" spans="2:6" ht="18">
      <c r="B1312" s="5" t="s">
        <v>54</v>
      </c>
      <c r="C1312" s="5">
        <f>C15+C58+C82+C105+C132+C170+C194+C217+C244+C245+C276+C305+C357+C383+C407+C436+C491+C492+C522+C548+C576+C600+C635+C665+C693+C722+C755+C756+C782+C809+C883+C915+C839+C946+C972+C1001+C1027+C1063+C1088+C1115+C1139+C1176+C1198+C1224+C1250</f>
        <v>310214</v>
      </c>
      <c r="E1312" s="11"/>
      <c r="F1312" s="3"/>
    </row>
    <row r="1313" spans="2:8" ht="18">
      <c r="B1313" s="5" t="s">
        <v>354</v>
      </c>
      <c r="C1313" s="5">
        <f>C133+C218+C171+C277+C435+C453+C489+C490+C578+C602+C634+C721+C752+C810+C838+C882+C918+C1087+C1116+C1140+C1173+C1174+C1223</f>
        <v>131663</v>
      </c>
      <c r="E1313" s="11"/>
      <c r="F1313" s="3"/>
      <c r="G1313" s="6"/>
      <c r="H1313" s="6"/>
    </row>
    <row r="1314" spans="2:6" ht="18">
      <c r="B1314" s="5" t="s">
        <v>55</v>
      </c>
      <c r="C1314" s="5">
        <f>C85+C175+C243+C275+C304+C355+C408+C437+C488+C549+C580+C638+C664+C692+C724+C753+C881+C945+C1002+C1029+C1061+C1117+C1141+C1171+C1228+C1252</f>
        <v>78907</v>
      </c>
      <c r="E1314" s="11"/>
      <c r="F1314" s="3"/>
    </row>
    <row r="1315" spans="2:6" ht="18">
      <c r="B1315" s="5" t="s">
        <v>53</v>
      </c>
      <c r="C1315" s="5">
        <f>C14+C36+C59+C83+C131+C169+C192+C246+C274+C302+C331+C385+C405+C433+C486+C525+C552+C577+C605+C636+C663+C691+C725+C754+C781+C808+C840+C858+C884+C914+C1004+C1028+C1062+C1086+C1118+C1138+C1175+C1197+C1225+C1254</f>
        <v>447686</v>
      </c>
      <c r="E1315" s="11"/>
      <c r="F1315" s="3"/>
    </row>
    <row r="1316" spans="2:6" ht="18">
      <c r="B1316" s="5" t="s">
        <v>99</v>
      </c>
      <c r="C1316" s="5">
        <f>C134+C174+C193+C247+C278+C303+C330+C358+C384+C406+C434+C487+C523+C551+C579+C637+C723+C751+C784+C811+C837+C859+C886++C916+C942+C971+C1003+C1030+C1060+C1085+C1142+C1170+C1201+C1226</f>
        <v>90219</v>
      </c>
      <c r="E1316" s="11"/>
      <c r="F1316" s="3"/>
    </row>
    <row r="1317" spans="2:6" ht="18">
      <c r="B1317" s="5" t="s">
        <v>57</v>
      </c>
      <c r="C1317" s="5">
        <f>C16+C37+C60+C86+C107+C136+C172+C176+C195+C213+C248+C280+C307+C332+C359+C386+C409+C438+C456+C493+C526+C550+C581+C606+C639+C666+C695+C726+C758+C785+C812+C841+C860+C887+C919+C948+C974+C1005+C1031+C1065+C1089+C1119+C1143+C1177+C1202+C1229+C1255</f>
        <v>514554</v>
      </c>
      <c r="E1317" s="11"/>
      <c r="F1317" s="3"/>
    </row>
    <row r="1318" spans="2:6" ht="18">
      <c r="B1318" s="5" t="s">
        <v>155</v>
      </c>
      <c r="C1318" s="5">
        <f>C84+C106+C135+C173+C216+C279+C306+C604+C757+C885+C917+C973+C1064+C1172+C1200+C1227+C1253</f>
        <v>389126</v>
      </c>
      <c r="E1318" s="11"/>
      <c r="F1318" s="3"/>
    </row>
    <row r="1319" spans="2:6" ht="18">
      <c r="B1319" s="5" t="s">
        <v>64</v>
      </c>
      <c r="C1319" s="5">
        <f>4971+4447+2554+10930+7091+6799+2680</f>
        <v>39472</v>
      </c>
      <c r="E1319" s="11"/>
      <c r="F1319" s="3"/>
    </row>
    <row r="1320" spans="2:6" ht="18">
      <c r="B1320" s="5" t="s">
        <v>334</v>
      </c>
      <c r="C1320" s="5">
        <f>C553</f>
        <v>0</v>
      </c>
      <c r="E1320" s="11"/>
      <c r="F1320" s="3"/>
    </row>
    <row r="1321" spans="5:6" ht="18">
      <c r="E1321" s="11"/>
      <c r="F1321" s="3"/>
    </row>
    <row r="1322" spans="3:5" ht="18">
      <c r="C1322" s="11">
        <f>SUM(C1310:C1320)</f>
        <v>3167672</v>
      </c>
      <c r="E1322" s="11"/>
    </row>
    <row r="1324" ht="18">
      <c r="B1324" s="11" t="s">
        <v>331</v>
      </c>
    </row>
    <row r="1325" spans="2:6" ht="18">
      <c r="B1325" s="5" t="s">
        <v>90</v>
      </c>
      <c r="C1325" s="5">
        <f>C18+C39+C62+C88+C109+C197+C138+C178+C220+C250+C282+C309+C334+C361+C388+C411+C440+C458+C495+C528+C555+C583+C608+C641+C668+C697+C728+C760+C787+C814+C843+C862+C889+C921+C950+C976+C1007+C1033+C1067+C1091+C1121+C1145+C1179+C1204+C1231+C1257</f>
        <v>1065389</v>
      </c>
      <c r="E1325" s="11"/>
      <c r="F1325" s="3"/>
    </row>
    <row r="1326" spans="2:6" ht="18">
      <c r="B1326" s="5" t="s">
        <v>91</v>
      </c>
      <c r="C1326" s="5">
        <f>C19+C40+C63+C89+C110+C198+C139+C179+C221+C251+C283+C310+C335+C362+C389+C412+C441+C459+C496+C529+C556+C584+C609+C642+C669+C698+C729+C761+C788+C815+C844+C863+C890+C922+C951+C977+C1008+C1034+C1068+C1092+C1122+C1146+C1180+C1205+C1232+C1258</f>
        <v>89197</v>
      </c>
      <c r="E1326" s="11"/>
      <c r="F1326" s="3"/>
    </row>
    <row r="1327" spans="2:6" ht="18">
      <c r="B1327" s="5" t="s">
        <v>88</v>
      </c>
      <c r="C1327" s="5">
        <f>C20+C41+C64+C90+C111+C199+C140+C180+C222+C252+C284+C311+C336+C363+C390+C413+C442+C460+C497+C530+C557+C585+C610+C643+C670+C699+C730+C762+C789+C816+C845+C864+C891+C923+C952+C978+C1009+C1035+C1069+C1093+C1123+C1147+C1181+C1206+C1233+C1259</f>
        <v>28966</v>
      </c>
      <c r="E1327" s="11"/>
      <c r="F1327" s="3"/>
    </row>
    <row r="1328" spans="2:8" ht="18">
      <c r="B1328" s="5" t="s">
        <v>89</v>
      </c>
      <c r="C1328" s="5">
        <f>C21+C42+C65+C91+C112+C200+C141+C181+C223+C253+C285+C312+C337+C364+C391+C414+C443+C461+C498+C531+C558+C586+C611+C644+C671+C700+C731+C763+C790+C817+C846+C865+C892+C924+C953+C979+C1010+C1036+C1070+C1094+C1124+C1148+C1182+C1207+C1234+C1260</f>
        <v>161791</v>
      </c>
      <c r="E1328" s="11"/>
      <c r="F1328" s="3"/>
      <c r="G1328" s="6"/>
      <c r="H1328" s="6"/>
    </row>
    <row r="1329" spans="2:6" ht="18">
      <c r="B1329" s="5" t="s">
        <v>92</v>
      </c>
      <c r="C1329" s="5">
        <f>C22+C43+C66+C92+C113+C201+C142+C182+C224+C254+C286+C313+C338+C365+C392+C415+C444+C462+C499+C532+C559+C587+C612+C645+C672+C701+C732+C764+C791+C818+C847+C866+C893+C925+C954+C980+C1011+C1037+C1071+C1095+C1125+C1149+C1183+C1208+C1235+C1261</f>
        <v>108491</v>
      </c>
      <c r="E1329" s="11"/>
      <c r="F1329" s="3"/>
    </row>
    <row r="1330" spans="2:6" ht="18">
      <c r="B1330" s="5" t="s">
        <v>93</v>
      </c>
      <c r="C1330" s="5">
        <f>C23+C44+C67+C94+C114+C202+C143+C183+C225+C255+C287+C314+C339+C366+C393+C416+C445+C463+C501+C533+C560+C588+C613+C646+C673+C702+C733+C765+C792+C819+C848+C867+C894+C926+C955+C981+C1012+C1038+C1072+C1096+C1126+C1150+C1184+C1209+C1236+C1262</f>
        <v>108467</v>
      </c>
      <c r="E1330" s="11"/>
      <c r="F1330" s="3"/>
    </row>
    <row r="1331" spans="2:6" ht="18">
      <c r="B1331" s="5" t="s">
        <v>94</v>
      </c>
      <c r="C1331" s="5">
        <f>C25+C46+C68+C95+C116+C144+C184+C203+C226+C257+C288+C316+C340+C367+C394+C417+C446+C464+C502+C534+C561+C589+C614+C647+C674+C704+C735+C766+C793+C820+C850+C868+C896+C928+C956+C983+C1013+C1039+C1073+C1097+C1127+C1151+C1186+C1210+C1237</f>
        <v>12158</v>
      </c>
      <c r="E1331" s="11"/>
      <c r="F1331" s="3"/>
    </row>
    <row r="1332" spans="2:6" ht="18">
      <c r="B1332" s="5" t="s">
        <v>100</v>
      </c>
      <c r="C1332" s="5">
        <f>C24+C45+C69+C93+C115+C256+C315+C500+C648+C703+C734+C767+C849+C895+C927+C982+C1185</f>
        <v>76551</v>
      </c>
      <c r="E1332" s="11"/>
      <c r="F1332" s="3"/>
    </row>
    <row r="1333" spans="2:6" ht="18">
      <c r="B1333" s="5" t="s">
        <v>87</v>
      </c>
      <c r="C1333" s="5">
        <f>3124+1886+4118+132+452</f>
        <v>9712</v>
      </c>
      <c r="E1333" s="11"/>
      <c r="F1333" s="3"/>
    </row>
    <row r="1334" spans="3:6" ht="18">
      <c r="C1334" s="11"/>
      <c r="E1334" s="11"/>
      <c r="F1334" s="3"/>
    </row>
    <row r="1335" spans="3:6" ht="18">
      <c r="C1335" s="11">
        <f>SUM(C1325:C1334)</f>
        <v>1660722</v>
      </c>
      <c r="E1335" s="11"/>
      <c r="F1335" s="3"/>
    </row>
    <row r="1336" spans="5:6" ht="18">
      <c r="E1336" s="11"/>
      <c r="F1336" s="3"/>
    </row>
    <row r="1337" spans="5:6" ht="18">
      <c r="E1337" s="11"/>
      <c r="F1337" s="3"/>
    </row>
    <row r="1338" spans="5:6" ht="18">
      <c r="E1338" s="11"/>
      <c r="F1338" s="3"/>
    </row>
    <row r="1339" spans="5:6" ht="18">
      <c r="E1339" s="11"/>
      <c r="F1339" s="3"/>
    </row>
    <row r="1340" spans="2:3" ht="18">
      <c r="B1340" s="5" t="s">
        <v>59</v>
      </c>
      <c r="C1340" s="11">
        <f>C7+C8+C10+C29+C32+C49+C51+C53+C54+C72+C73+C98+C100+C101+C120+C122+C124+C148+C149+C150+C151+C152+C153+C154+C155+C156+C158+C159+C160+C161+C162+C163+C164+C188+C209+C210+C211+C231+C233+C234+C236+C237+C239+C264+C266+C267+C269+C270+C293+C294+C297+C348+C349+C397+C400+C420+C423+C424+C427+C428+C467+C468+C469+C470+C471+C472+C474+C476+C477+C478+C479+C481+C482+C506+C510+C511+C513+C514+C515+C516+C517+C518+C537+C539+C540+C541+C543+C564+C565+C568+C569+C571+C572+C592+C595+C596+C619+C620+C622+C623+C625+C626+C627+C628+C630+C652+C657+C659+C680+C681+C684+C685+C686+C707+C710+C711+C712+C713+C714+C715+C716+C741+C742+C743+C744+C745+C746+C747+C771+C773+C774+C775+C776+C777+C796+C799+C800+C801+C802+C803+C804+C823+C826+C827+C828+C829+C831+C854+C871+C873+C874+C875+C876+C877+C899+C900+C901+C905+C906+C907+C908+C909+C932+C935+C936+C937+C938+C940+C964+C965+C986+C987+C988+C990+C992+C993+C994+C995+C997+C1016+C1018+C1020+C1021+C1023+C1042+C1046+C1049+C1050+C1051+C1052+C1053+C1054+C1055+C1076+C1080+C1081+C1101+C1102+C1103+C1105+C1107+C1108+C1109+C1110+C1111+C1130+C1134+C1154+C1156+C1158+C1161+C1162+C1163+C1164+C1166+C1192+C1214+C1215+C1216+C1217+C1218+C1219+C1242+C1244+C1246+C1267+C1268+C1269+34563</f>
        <v>3796006</v>
      </c>
    </row>
    <row r="1341" spans="2:3" ht="18">
      <c r="B1341" s="5" t="s">
        <v>60</v>
      </c>
      <c r="C1341" s="11">
        <f>C12+C13+C14+C15+C16+C34+C36+C37+C56+C58+C60+C80+C81+C82+C83+C84+C85+C86+C103+C104+C106+C107+C129+C130+C132+C133+C134+C135+C136+C167+C168+C169+C170+C171+C173+C175+C176+C191+C194+C195+C213+C214+C215+C216+C217+C218+C241+C242+C243+C245+C246+C247+C248+C272+C273+C274+C276+C277+C278+C279+C280+C300+C301+C304+C305+C306+C307+C328+C329+C331+C332+C353+C354+C358+C359+C382+C384+C386+C403+C404+C407+C409+C431+C432+C433+C435+C437+C438+C453+C454+C456+C484+C485+C486+C487+C489+C490+C491+C492+C493+C520+C521+C522+C523+C524+C526+C546+C547+C548+C550+C552+C574+C575+C576+C577+C578+C581+C598+C602+C604+C605+C606+C632+C633+C634+C635+C636+C637+C639+C661+C663+C665+C666+C689+C690+C691+C692+C695+C719+C720+C721+C722+C724+C725+C726+C749+C750+C751+C752+C753+C754+C755+C756+C758+C779+C780+C781+C782+C783+C784+C785+C806+C809+C810+C812+C835+C836+C838+C839+C841+C856+C857+C860+C879+C882+C883+C884+C885+C886+C887+C912+C913+C914+C916+C917+C918+C919+C943+C944+C945+C946+C948+C969+C970+C974+C999+C1000+C1001+C1002+C1003+C1004+C1005+C1025+C1026+C1027+C1028+C1030+C1031+C1058+C1059+C1060+C1062+C1064+C1065+C1083+C1086+C1087+C1089+C1113+C1114+C1115+C1116+C1117+C1118+C1119+C1136+C1137+C1138+C1139+C1140+C1141+C1143+C1168+C1169+C1172+C1173+C1174+C1175+C1177+C1195+C1196+C1198+C1199+C1200+C1201+C1202+C1221+C1222+C1223+C1224+C1225+C1227+C1229+C1248+C1249+C1251+C1253+C1254+C1255-4784</f>
        <v>3167672</v>
      </c>
    </row>
    <row r="1342" spans="2:3" ht="18">
      <c r="B1342" s="5" t="s">
        <v>61</v>
      </c>
      <c r="C1342" s="11">
        <f>C18+C20+C21+C22+C23+C24+C39+C41+C43+C44+C45+C62+C64+C66+C67+C69+C88+C89+C90+C91+C92+C93+C94+C109+C111+C113+C115+C138+C140+C141+C142+C143+C178+C180+C181+C182+C183+C220+C222+C223+C250+C251+C252+C254+C255+C282+C283+C284+C285+C286+C287+C309+C311+C313+C314+C315+C334+C336+C338+C361+C363+C365+C411+C413+C415+C440+C442+C444+C462+C495+C496+C497+C498+C499+C500+C501+C528+C529+C530+C532+C555+C556+C557+C558+C559+C560+C583+C585+C586+C587+C588+C608+C610+C611+C612+C613+C614+C641+C643+C644+C645+C646+C647+C670+C671+C672+C673+C697+C698+C699+C700+C701+C702+C728+C730+C731+C732+C733+C734+C760+C761+C762+C763+C764+C765+C787+C788+C789+C791+C818+C843+C844+C845+C846+C847+C848+C864+C865+C866+C867+C868+C889+C891+C892+C893+C894+C921+C923+C924+C925+C926+C950+C952+C976+C978+C979+C981+C1007+C1008+C1009+C1010+C1011+C1033+C1035+C1036+C1037+C1067+C1068+C1069+C1070+C1071+C1072+C1091+C1093+C1094+C1095+C1121+C1122+C1123+C1124+C1125+C1126+C1145+C1147+C1148+C1149+C1179+C1180+C1181+C1182+C1183+C1204+C1206+C1207+C1208+C1231+C1233+C1234+C1235+C1257+C1259+C1261+C1333+11237</f>
        <v>1660722</v>
      </c>
    </row>
    <row r="1343" ht="18">
      <c r="B1343" s="9"/>
    </row>
    <row r="1344" ht="18">
      <c r="B1344" s="11"/>
    </row>
    <row r="1345" spans="2:9" ht="18">
      <c r="B1345" s="11" t="s">
        <v>333</v>
      </c>
      <c r="C1345" s="11">
        <f>SUM(C1340:C1342)</f>
        <v>8624400</v>
      </c>
      <c r="H1345" s="11"/>
      <c r="I1345" s="11"/>
    </row>
    <row r="1346" spans="2:8" ht="18">
      <c r="B1346" s="11"/>
      <c r="C1346" s="11"/>
      <c r="H1346" s="11"/>
    </row>
    <row r="1347" spans="2:8" ht="18">
      <c r="B1347" s="11"/>
      <c r="C1347" s="11"/>
      <c r="H1347" s="11"/>
    </row>
    <row r="1350" spans="2:3" ht="18">
      <c r="B1350" s="5" t="s">
        <v>23</v>
      </c>
      <c r="C1350" s="7" t="s">
        <v>294</v>
      </c>
    </row>
    <row r="1351" ht="18">
      <c r="B1351" s="11"/>
    </row>
    <row r="1352" ht="18">
      <c r="B1352" s="11"/>
    </row>
    <row r="1354" spans="3:8" ht="20.25">
      <c r="C1354" s="19"/>
      <c r="F1354" s="6"/>
      <c r="H1354" s="19"/>
    </row>
    <row r="1356" ht="18">
      <c r="B1356" s="11"/>
    </row>
  </sheetData>
  <sheetProtection/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Пеннер</dc:creator>
  <cp:keywords/>
  <dc:description/>
  <cp:lastModifiedBy>Пользователь</cp:lastModifiedBy>
  <cp:lastPrinted>2018-08-15T01:19:49Z</cp:lastPrinted>
  <dcterms:created xsi:type="dcterms:W3CDTF">2002-04-29T07:48:33Z</dcterms:created>
  <dcterms:modified xsi:type="dcterms:W3CDTF">2018-08-15T05:37:00Z</dcterms:modified>
  <cp:category/>
  <cp:version/>
  <cp:contentType/>
  <cp:contentStatus/>
</cp:coreProperties>
</file>